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bl\Documents\"/>
    </mc:Choice>
  </mc:AlternateContent>
  <xr:revisionPtr revIDLastSave="0" documentId="8_{CA5E1FC4-02D0-42D5-BC70-39CAA77F3196}" xr6:coauthVersionLast="44" xr6:coauthVersionMax="44" xr10:uidLastSave="{00000000-0000-0000-0000-000000000000}"/>
  <bookViews>
    <workbookView xWindow="-108" yWindow="-108" windowWidth="23256" windowHeight="12576" xr2:uid="{E03217B2-F907-4138-85B0-5F1486BB4752}"/>
  </bookViews>
  <sheets>
    <sheet name="About" sheetId="22" r:id="rId1"/>
    <sheet name="Alle ruter" sheetId="15" r:id="rId2"/>
    <sheet name="H2 pr endeplass" sheetId="17" r:id="rId3"/>
    <sheet name="Energi per fylke" sheetId="21" r:id="rId4"/>
  </sheets>
  <definedNames>
    <definedName name="_xlnm._FilterDatabase" localSheetId="1" hidden="1">'Alle ruter'!$A$2:$AK$101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1" l="1"/>
  <c r="Q3" i="15" l="1"/>
  <c r="K59" i="21" l="1"/>
  <c r="AI105" i="15"/>
  <c r="B65" i="21"/>
  <c r="B66" i="21"/>
  <c r="B67" i="21"/>
  <c r="B68" i="21"/>
  <c r="B69" i="21"/>
  <c r="B70" i="21"/>
  <c r="B71" i="21"/>
  <c r="B64" i="21"/>
  <c r="B49" i="21"/>
  <c r="C65" i="21"/>
  <c r="D65" i="21"/>
  <c r="E65" i="21"/>
  <c r="F65" i="21"/>
  <c r="G65" i="21"/>
  <c r="H65" i="21"/>
  <c r="I65" i="21"/>
  <c r="I72" i="21" s="1"/>
  <c r="J65" i="21"/>
  <c r="K65" i="21"/>
  <c r="L65" i="21"/>
  <c r="M65" i="21"/>
  <c r="N65" i="21"/>
  <c r="O65" i="21"/>
  <c r="P65" i="21"/>
  <c r="C66" i="21"/>
  <c r="D66" i="21"/>
  <c r="E66" i="21"/>
  <c r="F66" i="21"/>
  <c r="G66" i="21"/>
  <c r="H66" i="21"/>
  <c r="I66" i="21"/>
  <c r="J66" i="21"/>
  <c r="K66" i="21"/>
  <c r="K72" i="21" s="1"/>
  <c r="L66" i="21"/>
  <c r="M66" i="21"/>
  <c r="N66" i="21"/>
  <c r="O66" i="21"/>
  <c r="P66" i="21"/>
  <c r="C67" i="21"/>
  <c r="D67" i="21"/>
  <c r="E67" i="21"/>
  <c r="E72" i="21" s="1"/>
  <c r="F67" i="21"/>
  <c r="G67" i="21"/>
  <c r="H67" i="21"/>
  <c r="I67" i="21"/>
  <c r="J67" i="21"/>
  <c r="K67" i="21"/>
  <c r="L67" i="21"/>
  <c r="M67" i="21"/>
  <c r="N67" i="21"/>
  <c r="O67" i="21"/>
  <c r="P67" i="21"/>
  <c r="C68" i="21"/>
  <c r="D68" i="21"/>
  <c r="E68" i="21"/>
  <c r="F68" i="21"/>
  <c r="G68" i="21"/>
  <c r="G72" i="21" s="1"/>
  <c r="H68" i="21"/>
  <c r="H72" i="21" s="1"/>
  <c r="I68" i="21"/>
  <c r="J68" i="21"/>
  <c r="K68" i="21"/>
  <c r="L68" i="21"/>
  <c r="M68" i="21"/>
  <c r="N68" i="21"/>
  <c r="O68" i="21"/>
  <c r="P68" i="21"/>
  <c r="C69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C70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C71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C64" i="21"/>
  <c r="C72" i="21" s="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C49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H95" i="15"/>
  <c r="H85" i="15"/>
  <c r="H84" i="15"/>
  <c r="H73" i="15"/>
  <c r="H60" i="15"/>
  <c r="H52" i="15"/>
  <c r="H36" i="15"/>
  <c r="H32" i="15"/>
  <c r="AA35" i="15"/>
  <c r="B27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AL3" i="15"/>
  <c r="B42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12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72" i="21" l="1"/>
  <c r="O72" i="21"/>
  <c r="F72" i="21"/>
  <c r="D72" i="21"/>
  <c r="P72" i="21"/>
  <c r="M72" i="21"/>
  <c r="N72" i="21"/>
  <c r="L72" i="21"/>
  <c r="J72" i="21"/>
  <c r="O3" i="17"/>
  <c r="P3" i="17"/>
  <c r="Q3" i="17"/>
  <c r="R3" i="17"/>
  <c r="S3" i="17"/>
  <c r="AJ105" i="15"/>
  <c r="A104" i="15"/>
  <c r="C7" i="17"/>
  <c r="C9" i="17"/>
  <c r="C20" i="17"/>
  <c r="C25" i="17"/>
  <c r="C27" i="17"/>
  <c r="C29" i="17"/>
  <c r="C30" i="17"/>
  <c r="C37" i="17"/>
  <c r="C39" i="17"/>
  <c r="C42" i="17"/>
  <c r="C44" i="17"/>
  <c r="C53" i="17"/>
  <c r="C57" i="17"/>
  <c r="C60" i="17"/>
  <c r="C62" i="17"/>
  <c r="C65" i="17"/>
  <c r="C67" i="17"/>
  <c r="C69" i="17"/>
  <c r="C72" i="17"/>
  <c r="C80" i="17"/>
  <c r="C82" i="17"/>
  <c r="C84" i="17"/>
  <c r="C86" i="17"/>
  <c r="C89" i="17"/>
  <c r="C92" i="17"/>
  <c r="C94" i="17"/>
  <c r="C96" i="17"/>
  <c r="C98" i="17"/>
  <c r="AA6" i="15" l="1"/>
  <c r="AA32" i="15"/>
  <c r="AA36" i="15"/>
  <c r="AA52" i="15"/>
  <c r="AA60" i="15"/>
  <c r="AA73" i="15"/>
  <c r="AA84" i="15"/>
  <c r="AA85" i="15"/>
  <c r="AA90" i="15"/>
  <c r="AA95" i="15"/>
  <c r="AA96" i="15"/>
  <c r="AL100" i="15" l="1"/>
  <c r="AL6" i="15"/>
  <c r="AL32" i="15"/>
  <c r="AL36" i="15"/>
  <c r="AL52" i="15"/>
  <c r="AL60" i="15"/>
  <c r="AL73" i="15"/>
  <c r="AL84" i="15"/>
  <c r="AL85" i="15"/>
  <c r="AL90" i="15"/>
  <c r="AL95" i="15"/>
  <c r="AL96" i="15"/>
  <c r="G3" i="17"/>
  <c r="H3" i="17"/>
  <c r="I3" i="17"/>
  <c r="J3" i="17"/>
  <c r="K3" i="17"/>
  <c r="L3" i="17"/>
  <c r="M3" i="17"/>
  <c r="N3" i="17"/>
  <c r="F3" i="17"/>
  <c r="H4" i="15"/>
  <c r="AA4" i="15" s="1"/>
  <c r="H5" i="15"/>
  <c r="AA5" i="15" s="1"/>
  <c r="H7" i="15"/>
  <c r="AA7" i="15" s="1"/>
  <c r="H8" i="15"/>
  <c r="AA8" i="15" s="1"/>
  <c r="H9" i="15"/>
  <c r="AA9" i="15" s="1"/>
  <c r="H10" i="15"/>
  <c r="AA10" i="15" s="1"/>
  <c r="H11" i="15"/>
  <c r="AA11" i="15" s="1"/>
  <c r="H12" i="15"/>
  <c r="AA12" i="15" s="1"/>
  <c r="H13" i="15"/>
  <c r="AA13" i="15" s="1"/>
  <c r="H14" i="15"/>
  <c r="AA14" i="15" s="1"/>
  <c r="H15" i="15"/>
  <c r="AA15" i="15" s="1"/>
  <c r="H16" i="15"/>
  <c r="AA16" i="15" s="1"/>
  <c r="H17" i="15"/>
  <c r="AA17" i="15" s="1"/>
  <c r="H18" i="15"/>
  <c r="AA18" i="15" s="1"/>
  <c r="H19" i="15"/>
  <c r="AA19" i="15" s="1"/>
  <c r="H20" i="15"/>
  <c r="AA20" i="15" s="1"/>
  <c r="H21" i="15"/>
  <c r="AA21" i="15" s="1"/>
  <c r="H22" i="15"/>
  <c r="AA22" i="15" s="1"/>
  <c r="H23" i="15"/>
  <c r="AA23" i="15" s="1"/>
  <c r="H24" i="15"/>
  <c r="AA24" i="15" s="1"/>
  <c r="H25" i="15"/>
  <c r="AA25" i="15" s="1"/>
  <c r="H26" i="15"/>
  <c r="AA26" i="15" s="1"/>
  <c r="H27" i="15"/>
  <c r="AA27" i="15" s="1"/>
  <c r="H28" i="15"/>
  <c r="AA28" i="15" s="1"/>
  <c r="H29" i="15"/>
  <c r="AA29" i="15" s="1"/>
  <c r="H30" i="15"/>
  <c r="AA30" i="15" s="1"/>
  <c r="H31" i="15"/>
  <c r="AA31" i="15" s="1"/>
  <c r="H33" i="15"/>
  <c r="AA33" i="15" s="1"/>
  <c r="H34" i="15"/>
  <c r="AA34" i="15" s="1"/>
  <c r="H35" i="15"/>
  <c r="H37" i="15"/>
  <c r="AA37" i="15" s="1"/>
  <c r="H38" i="15"/>
  <c r="AA38" i="15" s="1"/>
  <c r="H39" i="15"/>
  <c r="AA39" i="15" s="1"/>
  <c r="H40" i="15"/>
  <c r="AA40" i="15" s="1"/>
  <c r="H41" i="15"/>
  <c r="AA41" i="15" s="1"/>
  <c r="H42" i="15"/>
  <c r="AA42" i="15" s="1"/>
  <c r="H43" i="15"/>
  <c r="AA43" i="15" s="1"/>
  <c r="H44" i="15"/>
  <c r="AA44" i="15" s="1"/>
  <c r="H45" i="15"/>
  <c r="AA45" i="15" s="1"/>
  <c r="H46" i="15"/>
  <c r="AA46" i="15" s="1"/>
  <c r="H47" i="15"/>
  <c r="AA47" i="15" s="1"/>
  <c r="H48" i="15"/>
  <c r="AA48" i="15" s="1"/>
  <c r="H49" i="15"/>
  <c r="AA49" i="15" s="1"/>
  <c r="H50" i="15"/>
  <c r="AA50" i="15" s="1"/>
  <c r="H51" i="15"/>
  <c r="AA51" i="15" s="1"/>
  <c r="H53" i="15"/>
  <c r="AA53" i="15" s="1"/>
  <c r="H54" i="15"/>
  <c r="AA54" i="15" s="1"/>
  <c r="H55" i="15"/>
  <c r="AA55" i="15" s="1"/>
  <c r="H56" i="15"/>
  <c r="AA56" i="15" s="1"/>
  <c r="H57" i="15"/>
  <c r="AA57" i="15" s="1"/>
  <c r="H58" i="15"/>
  <c r="AA58" i="15" s="1"/>
  <c r="H59" i="15"/>
  <c r="AA59" i="15" s="1"/>
  <c r="H61" i="15"/>
  <c r="AA61" i="15" s="1"/>
  <c r="H62" i="15"/>
  <c r="AA62" i="15" s="1"/>
  <c r="H63" i="15"/>
  <c r="AA63" i="15" s="1"/>
  <c r="H64" i="15"/>
  <c r="AA64" i="15" s="1"/>
  <c r="H65" i="15"/>
  <c r="AA65" i="15" s="1"/>
  <c r="H66" i="15"/>
  <c r="AA66" i="15" s="1"/>
  <c r="H67" i="15"/>
  <c r="AA67" i="15" s="1"/>
  <c r="H68" i="15"/>
  <c r="AA68" i="15" s="1"/>
  <c r="H69" i="15"/>
  <c r="AA69" i="15" s="1"/>
  <c r="H70" i="15"/>
  <c r="AA70" i="15" s="1"/>
  <c r="H71" i="15"/>
  <c r="AA71" i="15" s="1"/>
  <c r="H72" i="15"/>
  <c r="AA72" i="15" s="1"/>
  <c r="H74" i="15"/>
  <c r="AA74" i="15" s="1"/>
  <c r="H75" i="15"/>
  <c r="AA75" i="15" s="1"/>
  <c r="H76" i="15"/>
  <c r="AA76" i="15" s="1"/>
  <c r="H77" i="15"/>
  <c r="AA77" i="15" s="1"/>
  <c r="H78" i="15"/>
  <c r="AA78" i="15" s="1"/>
  <c r="H79" i="15"/>
  <c r="AA79" i="15" s="1"/>
  <c r="H80" i="15"/>
  <c r="AA80" i="15" s="1"/>
  <c r="H81" i="15"/>
  <c r="AA81" i="15" s="1"/>
  <c r="H82" i="15"/>
  <c r="AA82" i="15" s="1"/>
  <c r="H83" i="15"/>
  <c r="AA83" i="15" s="1"/>
  <c r="H86" i="15"/>
  <c r="AA86" i="15" s="1"/>
  <c r="H87" i="15"/>
  <c r="AA87" i="15" s="1"/>
  <c r="H88" i="15"/>
  <c r="AA88" i="15" s="1"/>
  <c r="H89" i="15"/>
  <c r="AA89" i="15" s="1"/>
  <c r="H91" i="15"/>
  <c r="AA91" i="15" s="1"/>
  <c r="H92" i="15"/>
  <c r="AA92" i="15" s="1"/>
  <c r="H93" i="15"/>
  <c r="AA93" i="15" s="1"/>
  <c r="H94" i="15"/>
  <c r="AA94" i="15" s="1"/>
  <c r="H97" i="15"/>
  <c r="AA97" i="15" s="1"/>
  <c r="H98" i="15"/>
  <c r="AA98" i="15" s="1"/>
  <c r="H3" i="15"/>
  <c r="AA3" i="15" s="1"/>
  <c r="AB3" i="15" s="1"/>
  <c r="AL98" i="15" l="1"/>
  <c r="AL82" i="15"/>
  <c r="AL74" i="15"/>
  <c r="AL66" i="15"/>
  <c r="AL58" i="15"/>
  <c r="AL50" i="15"/>
  <c r="AL42" i="15"/>
  <c r="AL34" i="15"/>
  <c r="AL26" i="15"/>
  <c r="AL18" i="15"/>
  <c r="AL10" i="15"/>
  <c r="AL97" i="15"/>
  <c r="AL89" i="15"/>
  <c r="AL81" i="15"/>
  <c r="AL65" i="15"/>
  <c r="AL57" i="15"/>
  <c r="AL49" i="15"/>
  <c r="AL41" i="15"/>
  <c r="AL33" i="15"/>
  <c r="AL25" i="15"/>
  <c r="AL17" i="15"/>
  <c r="AL9" i="15"/>
  <c r="AL88" i="15"/>
  <c r="AL80" i="15"/>
  <c r="AL72" i="15"/>
  <c r="AL64" i="15"/>
  <c r="AL56" i="15"/>
  <c r="AL48" i="15"/>
  <c r="AL40" i="15"/>
  <c r="AL24" i="15"/>
  <c r="AL16" i="15"/>
  <c r="AL8" i="15"/>
  <c r="AL87" i="15"/>
  <c r="AL79" i="15"/>
  <c r="AL71" i="15"/>
  <c r="AL63" i="15"/>
  <c r="AL55" i="15"/>
  <c r="AL47" i="15"/>
  <c r="AL39" i="15"/>
  <c r="AL31" i="15"/>
  <c r="AL23" i="15"/>
  <c r="AL15" i="15"/>
  <c r="AL7" i="15"/>
  <c r="AL94" i="15"/>
  <c r="AL86" i="15"/>
  <c r="AL78" i="15"/>
  <c r="AL70" i="15"/>
  <c r="AL62" i="15"/>
  <c r="AL54" i="15"/>
  <c r="AL46" i="15"/>
  <c r="AL38" i="15"/>
  <c r="AL30" i="15"/>
  <c r="AL22" i="15"/>
  <c r="AL14" i="15"/>
  <c r="AL93" i="15"/>
  <c r="AL77" i="15"/>
  <c r="AL69" i="15"/>
  <c r="AL61" i="15"/>
  <c r="AL53" i="15"/>
  <c r="AL45" i="15"/>
  <c r="AL37" i="15"/>
  <c r="AL29" i="15"/>
  <c r="AL21" i="15"/>
  <c r="AL13" i="15"/>
  <c r="AL5" i="15"/>
  <c r="AL92" i="15"/>
  <c r="AL76" i="15"/>
  <c r="AL68" i="15"/>
  <c r="AL44" i="15"/>
  <c r="AL28" i="15"/>
  <c r="AL20" i="15"/>
  <c r="AL12" i="15"/>
  <c r="AL4" i="15"/>
  <c r="AL91" i="15"/>
  <c r="AL83" i="15"/>
  <c r="AL75" i="15"/>
  <c r="AL67" i="15"/>
  <c r="AL59" i="15"/>
  <c r="AL51" i="15"/>
  <c r="AL43" i="15"/>
  <c r="AL35" i="15"/>
  <c r="AL27" i="15"/>
  <c r="AL19" i="15"/>
  <c r="AL11" i="15"/>
  <c r="W26" i="15"/>
  <c r="W28" i="15"/>
  <c r="W29" i="15"/>
  <c r="W30" i="15"/>
  <c r="W31" i="15"/>
  <c r="W33" i="15"/>
  <c r="W34" i="15"/>
  <c r="W35" i="15"/>
  <c r="W37" i="15"/>
  <c r="W40" i="15"/>
  <c r="W43" i="15"/>
  <c r="W50" i="15"/>
  <c r="W55" i="15"/>
  <c r="W58" i="15"/>
  <c r="W61" i="15"/>
  <c r="W62" i="15"/>
  <c r="W67" i="15"/>
  <c r="W70" i="15"/>
  <c r="W71" i="15"/>
  <c r="W74" i="15"/>
  <c r="W76" i="15"/>
  <c r="W77" i="15"/>
  <c r="W88" i="15"/>
  <c r="W90" i="15"/>
  <c r="W91" i="15"/>
  <c r="W96" i="15"/>
  <c r="W97" i="15"/>
  <c r="W98" i="15"/>
  <c r="AL99" i="15" l="1"/>
  <c r="AL101" i="15" s="1"/>
  <c r="K4" i="15"/>
  <c r="K5" i="15"/>
  <c r="L5" i="15" s="1"/>
  <c r="K6" i="15"/>
  <c r="C12" i="17" s="1"/>
  <c r="K7" i="15"/>
  <c r="K8" i="15"/>
  <c r="K9" i="15"/>
  <c r="K10" i="15"/>
  <c r="C5" i="17" s="1"/>
  <c r="K11" i="15"/>
  <c r="C49" i="17" s="1"/>
  <c r="K12" i="15"/>
  <c r="C28" i="17" s="1"/>
  <c r="K13" i="15"/>
  <c r="K14" i="15"/>
  <c r="L14" i="15" s="1"/>
  <c r="K15" i="15"/>
  <c r="C31" i="17" s="1"/>
  <c r="K16" i="15"/>
  <c r="C38" i="17" s="1"/>
  <c r="K17" i="15"/>
  <c r="K18" i="15"/>
  <c r="C43" i="17" s="1"/>
  <c r="K19" i="15"/>
  <c r="L19" i="15" s="1"/>
  <c r="K20" i="15"/>
  <c r="C16" i="17" s="1"/>
  <c r="K21" i="15"/>
  <c r="C26" i="17" s="1"/>
  <c r="K22" i="15"/>
  <c r="L22" i="15" s="1"/>
  <c r="K23" i="15"/>
  <c r="K24" i="15"/>
  <c r="L24" i="15" s="1"/>
  <c r="K25" i="15"/>
  <c r="C41" i="17" s="1"/>
  <c r="K26" i="15"/>
  <c r="C23" i="17" s="1"/>
  <c r="K27" i="15"/>
  <c r="C51" i="17" s="1"/>
  <c r="K28" i="15"/>
  <c r="C79" i="17" s="1"/>
  <c r="K29" i="15"/>
  <c r="L29" i="15" s="1"/>
  <c r="K30" i="15"/>
  <c r="L30" i="15" s="1"/>
  <c r="K31" i="15"/>
  <c r="C90" i="17" s="1"/>
  <c r="K32" i="15"/>
  <c r="C10" i="17" s="1"/>
  <c r="K33" i="15"/>
  <c r="K34" i="15"/>
  <c r="L34" i="15" s="1"/>
  <c r="K35" i="15"/>
  <c r="L35" i="15" s="1"/>
  <c r="K36" i="15"/>
  <c r="C22" i="17" s="1"/>
  <c r="K37" i="15"/>
  <c r="L37" i="15" s="1"/>
  <c r="K38" i="15"/>
  <c r="C40" i="17" s="1"/>
  <c r="K39" i="15"/>
  <c r="C24" i="17" s="1"/>
  <c r="K40" i="15"/>
  <c r="L40" i="15" s="1"/>
  <c r="K41" i="15"/>
  <c r="L41" i="15" s="1"/>
  <c r="K42" i="15"/>
  <c r="C33" i="17" s="1"/>
  <c r="K43" i="15"/>
  <c r="C75" i="17" s="1"/>
  <c r="K44" i="15"/>
  <c r="C48" i="17" s="1"/>
  <c r="K45" i="15"/>
  <c r="K46" i="15"/>
  <c r="C52" i="17" s="1"/>
  <c r="K47" i="15"/>
  <c r="L47" i="15" s="1"/>
  <c r="K48" i="15"/>
  <c r="L48" i="15" s="1"/>
  <c r="K49" i="15"/>
  <c r="K50" i="15"/>
  <c r="C74" i="17" s="1"/>
  <c r="K51" i="15"/>
  <c r="C34" i="17" s="1"/>
  <c r="K52" i="15"/>
  <c r="K53" i="15"/>
  <c r="C81" i="17" s="1"/>
  <c r="K54" i="15"/>
  <c r="K55" i="15"/>
  <c r="C13" i="17" s="1"/>
  <c r="K56" i="15"/>
  <c r="C35" i="17" s="1"/>
  <c r="K57" i="15"/>
  <c r="C46" i="17" s="1"/>
  <c r="K58" i="15"/>
  <c r="C56" i="17" s="1"/>
  <c r="K59" i="15"/>
  <c r="L59" i="15" s="1"/>
  <c r="K60" i="15"/>
  <c r="L60" i="15" s="1"/>
  <c r="K61" i="15"/>
  <c r="C64" i="17" s="1"/>
  <c r="K62" i="15"/>
  <c r="C63" i="17" s="1"/>
  <c r="K63" i="15"/>
  <c r="L63" i="15" s="1"/>
  <c r="M63" i="15" s="1"/>
  <c r="N63" i="15" s="1"/>
  <c r="K64" i="15"/>
  <c r="L64" i="15" s="1"/>
  <c r="M64" i="15" s="1"/>
  <c r="N64" i="15" s="1"/>
  <c r="K65" i="15"/>
  <c r="L65" i="15" s="1"/>
  <c r="M65" i="15" s="1"/>
  <c r="N65" i="15" s="1"/>
  <c r="K66" i="15"/>
  <c r="L66" i="15" s="1"/>
  <c r="M66" i="15" s="1"/>
  <c r="N66" i="15" s="1"/>
  <c r="K67" i="15"/>
  <c r="C55" i="17" s="1"/>
  <c r="K68" i="15"/>
  <c r="L68" i="15" s="1"/>
  <c r="M68" i="15" s="1"/>
  <c r="N68" i="15" s="1"/>
  <c r="K69" i="15"/>
  <c r="C66" i="17" s="1"/>
  <c r="K70" i="15"/>
  <c r="C93" i="17" s="1"/>
  <c r="K71" i="15"/>
  <c r="C91" i="17" s="1"/>
  <c r="K72" i="15"/>
  <c r="C45" i="17" s="1"/>
  <c r="K73" i="15"/>
  <c r="C59" i="17" s="1"/>
  <c r="K74" i="15"/>
  <c r="L74" i="15" s="1"/>
  <c r="M74" i="15" s="1"/>
  <c r="N74" i="15" s="1"/>
  <c r="K75" i="15"/>
  <c r="C77" i="17" s="1"/>
  <c r="K76" i="15"/>
  <c r="C78" i="17" s="1"/>
  <c r="K77" i="15"/>
  <c r="C70" i="17" s="1"/>
  <c r="K78" i="15"/>
  <c r="C61" i="17" s="1"/>
  <c r="K79" i="15"/>
  <c r="L79" i="15" s="1"/>
  <c r="M79" i="15" s="1"/>
  <c r="N79" i="15" s="1"/>
  <c r="K80" i="15"/>
  <c r="C73" i="17" s="1"/>
  <c r="K81" i="15"/>
  <c r="C71" i="17" s="1"/>
  <c r="K82" i="15"/>
  <c r="C50" i="17" s="1"/>
  <c r="K83" i="15"/>
  <c r="L83" i="15" s="1"/>
  <c r="M83" i="15" s="1"/>
  <c r="N83" i="15" s="1"/>
  <c r="K84" i="15"/>
  <c r="C88" i="17" s="1"/>
  <c r="K85" i="15"/>
  <c r="C76" i="17" s="1"/>
  <c r="K86" i="15"/>
  <c r="C68" i="17" s="1"/>
  <c r="K87" i="15"/>
  <c r="C85" i="17" s="1"/>
  <c r="K88" i="15"/>
  <c r="C83" i="17" s="1"/>
  <c r="K89" i="15"/>
  <c r="C58" i="17" s="1"/>
  <c r="K90" i="15"/>
  <c r="K91" i="15"/>
  <c r="C97" i="17" s="1"/>
  <c r="K92" i="15"/>
  <c r="L92" i="15" s="1"/>
  <c r="M92" i="15" s="1"/>
  <c r="N92" i="15" s="1"/>
  <c r="K93" i="15"/>
  <c r="C87" i="17" s="1"/>
  <c r="K94" i="15"/>
  <c r="L94" i="15" s="1"/>
  <c r="M94" i="15" s="1"/>
  <c r="N94" i="15" s="1"/>
  <c r="K95" i="15"/>
  <c r="L95" i="15" s="1"/>
  <c r="K96" i="15"/>
  <c r="L96" i="15" s="1"/>
  <c r="M96" i="15" s="1"/>
  <c r="N96" i="15" s="1"/>
  <c r="K97" i="15"/>
  <c r="C95" i="17" s="1"/>
  <c r="K98" i="15"/>
  <c r="C99" i="17" s="1"/>
  <c r="K3" i="15"/>
  <c r="C11" i="17" s="1"/>
  <c r="E19" i="15"/>
  <c r="X28" i="15"/>
  <c r="X31" i="15"/>
  <c r="X37" i="15"/>
  <c r="X40" i="15"/>
  <c r="X43" i="15"/>
  <c r="X70" i="15"/>
  <c r="X71" i="15"/>
  <c r="X76" i="15"/>
  <c r="X77" i="15"/>
  <c r="X88" i="15"/>
  <c r="X90" i="15"/>
  <c r="X91" i="15"/>
  <c r="X96" i="15"/>
  <c r="X97" i="15"/>
  <c r="X98" i="15"/>
  <c r="V88" i="15"/>
  <c r="V90" i="15"/>
  <c r="V91" i="15"/>
  <c r="V96" i="15"/>
  <c r="V97" i="15"/>
  <c r="V98" i="15"/>
  <c r="V4" i="15"/>
  <c r="W4" i="15" s="1"/>
  <c r="V5" i="15"/>
  <c r="W5" i="15" s="1"/>
  <c r="V6" i="15"/>
  <c r="W6" i="15" s="1"/>
  <c r="V7" i="15"/>
  <c r="W7" i="15" s="1"/>
  <c r="V8" i="15"/>
  <c r="W8" i="15" s="1"/>
  <c r="V9" i="15"/>
  <c r="W9" i="15" s="1"/>
  <c r="V10" i="15"/>
  <c r="W10" i="15" s="1"/>
  <c r="V11" i="15"/>
  <c r="W11" i="15" s="1"/>
  <c r="V12" i="15"/>
  <c r="W12" i="15" s="1"/>
  <c r="V13" i="15"/>
  <c r="W13" i="15" s="1"/>
  <c r="V14" i="15"/>
  <c r="W14" i="15" s="1"/>
  <c r="V15" i="15"/>
  <c r="W15" i="15" s="1"/>
  <c r="V16" i="15"/>
  <c r="W16" i="15" s="1"/>
  <c r="V17" i="15"/>
  <c r="W17" i="15" s="1"/>
  <c r="V18" i="15"/>
  <c r="W18" i="15" s="1"/>
  <c r="V19" i="15"/>
  <c r="W19" i="15" s="1"/>
  <c r="V20" i="15"/>
  <c r="W20" i="15" s="1"/>
  <c r="V21" i="15"/>
  <c r="W21" i="15" s="1"/>
  <c r="V22" i="15"/>
  <c r="W22" i="15" s="1"/>
  <c r="V23" i="15"/>
  <c r="W23" i="15" s="1"/>
  <c r="V24" i="15"/>
  <c r="W24" i="15" s="1"/>
  <c r="V25" i="15"/>
  <c r="W25" i="15" s="1"/>
  <c r="V27" i="15"/>
  <c r="W27" i="15" s="1"/>
  <c r="V28" i="15"/>
  <c r="V31" i="15"/>
  <c r="V32" i="15"/>
  <c r="W32" i="15" s="1"/>
  <c r="V36" i="15"/>
  <c r="W36" i="15" s="1"/>
  <c r="V37" i="15"/>
  <c r="V38" i="15"/>
  <c r="W38" i="15" s="1"/>
  <c r="V39" i="15"/>
  <c r="W39" i="15" s="1"/>
  <c r="V40" i="15"/>
  <c r="V41" i="15"/>
  <c r="W41" i="15" s="1"/>
  <c r="V42" i="15"/>
  <c r="W42" i="15" s="1"/>
  <c r="V43" i="15"/>
  <c r="V44" i="15"/>
  <c r="W44" i="15" s="1"/>
  <c r="V45" i="15"/>
  <c r="W45" i="15" s="1"/>
  <c r="V46" i="15"/>
  <c r="W46" i="15" s="1"/>
  <c r="V47" i="15"/>
  <c r="W47" i="15" s="1"/>
  <c r="V48" i="15"/>
  <c r="W48" i="15" s="1"/>
  <c r="V49" i="15"/>
  <c r="W49" i="15" s="1"/>
  <c r="V51" i="15"/>
  <c r="W51" i="15" s="1"/>
  <c r="V52" i="15"/>
  <c r="W52" i="15" s="1"/>
  <c r="V53" i="15"/>
  <c r="W53" i="15" s="1"/>
  <c r="V54" i="15"/>
  <c r="W54" i="15" s="1"/>
  <c r="V56" i="15"/>
  <c r="W56" i="15" s="1"/>
  <c r="V57" i="15"/>
  <c r="W57" i="15" s="1"/>
  <c r="V59" i="15"/>
  <c r="W59" i="15" s="1"/>
  <c r="V60" i="15"/>
  <c r="W60" i="15" s="1"/>
  <c r="V63" i="15"/>
  <c r="W63" i="15" s="1"/>
  <c r="V64" i="15"/>
  <c r="W64" i="15" s="1"/>
  <c r="V65" i="15"/>
  <c r="W65" i="15" s="1"/>
  <c r="V66" i="15"/>
  <c r="W66" i="15" s="1"/>
  <c r="V68" i="15"/>
  <c r="W68" i="15" s="1"/>
  <c r="V69" i="15"/>
  <c r="W69" i="15" s="1"/>
  <c r="V70" i="15"/>
  <c r="V71" i="15"/>
  <c r="V72" i="15"/>
  <c r="W72" i="15" s="1"/>
  <c r="V73" i="15"/>
  <c r="W73" i="15" s="1"/>
  <c r="V75" i="15"/>
  <c r="W75" i="15" s="1"/>
  <c r="V76" i="15"/>
  <c r="V77" i="15"/>
  <c r="V78" i="15"/>
  <c r="W78" i="15" s="1"/>
  <c r="V79" i="15"/>
  <c r="W79" i="15" s="1"/>
  <c r="V80" i="15"/>
  <c r="W80" i="15" s="1"/>
  <c r="V81" i="15"/>
  <c r="W81" i="15" s="1"/>
  <c r="V82" i="15"/>
  <c r="W82" i="15" s="1"/>
  <c r="V83" i="15"/>
  <c r="W83" i="15" s="1"/>
  <c r="V84" i="15"/>
  <c r="W84" i="15" s="1"/>
  <c r="V85" i="15"/>
  <c r="W85" i="15" s="1"/>
  <c r="V86" i="15"/>
  <c r="W86" i="15" s="1"/>
  <c r="V87" i="15"/>
  <c r="W87" i="15" s="1"/>
  <c r="V89" i="15"/>
  <c r="W89" i="15" s="1"/>
  <c r="V92" i="15"/>
  <c r="W92" i="15" s="1"/>
  <c r="V93" i="15"/>
  <c r="W93" i="15" s="1"/>
  <c r="V94" i="15"/>
  <c r="W94" i="15" s="1"/>
  <c r="V95" i="15"/>
  <c r="W95" i="15" s="1"/>
  <c r="V3" i="15"/>
  <c r="W3" i="15" s="1"/>
  <c r="AB52" i="15"/>
  <c r="AC52" i="15" s="1"/>
  <c r="C36" i="17" l="1"/>
  <c r="C47" i="17"/>
  <c r="C17" i="17"/>
  <c r="C14" i="17"/>
  <c r="C54" i="17"/>
  <c r="C6" i="17"/>
  <c r="C32" i="17"/>
  <c r="C4" i="17"/>
  <c r="C18" i="17"/>
  <c r="C19" i="17"/>
  <c r="C21" i="17"/>
  <c r="C15" i="17"/>
  <c r="C8" i="17"/>
  <c r="L3" i="15"/>
  <c r="L91" i="15"/>
  <c r="M91" i="15" s="1"/>
  <c r="N91" i="15" s="1"/>
  <c r="O91" i="15" s="1"/>
  <c r="L75" i="15"/>
  <c r="M75" i="15" s="1"/>
  <c r="N75" i="15" s="1"/>
  <c r="O75" i="15" s="1"/>
  <c r="L67" i="15"/>
  <c r="M67" i="15" s="1"/>
  <c r="N67" i="15" s="1"/>
  <c r="O67" i="15" s="1"/>
  <c r="L51" i="15"/>
  <c r="L98" i="15"/>
  <c r="M98" i="15" s="1"/>
  <c r="N98" i="15" s="1"/>
  <c r="O98" i="15" s="1"/>
  <c r="L90" i="15"/>
  <c r="M90" i="15" s="1"/>
  <c r="N90" i="15" s="1"/>
  <c r="O90" i="15" s="1"/>
  <c r="L82" i="15"/>
  <c r="M82" i="15" s="1"/>
  <c r="N82" i="15" s="1"/>
  <c r="O82" i="15" s="1"/>
  <c r="L58" i="15"/>
  <c r="L50" i="15"/>
  <c r="L42" i="15"/>
  <c r="L26" i="15"/>
  <c r="L18" i="15"/>
  <c r="L10" i="15"/>
  <c r="L43" i="15"/>
  <c r="L27" i="15"/>
  <c r="L11" i="15"/>
  <c r="L97" i="15"/>
  <c r="M97" i="15" s="1"/>
  <c r="N97" i="15" s="1"/>
  <c r="O97" i="15" s="1"/>
  <c r="L89" i="15"/>
  <c r="M89" i="15" s="1"/>
  <c r="N89" i="15" s="1"/>
  <c r="O89" i="15" s="1"/>
  <c r="L81" i="15"/>
  <c r="M81" i="15" s="1"/>
  <c r="N81" i="15" s="1"/>
  <c r="O81" i="15" s="1"/>
  <c r="L73" i="15"/>
  <c r="M73" i="15" s="1"/>
  <c r="N73" i="15" s="1"/>
  <c r="O73" i="15" s="1"/>
  <c r="L57" i="15"/>
  <c r="L49" i="15"/>
  <c r="L33" i="15"/>
  <c r="L25" i="15"/>
  <c r="L17" i="15"/>
  <c r="L9" i="15"/>
  <c r="L72" i="15"/>
  <c r="M72" i="15" s="1"/>
  <c r="N72" i="15" s="1"/>
  <c r="O72" i="15" s="1"/>
  <c r="L56" i="15"/>
  <c r="L16" i="15"/>
  <c r="L8" i="15"/>
  <c r="L88" i="15"/>
  <c r="M88" i="15" s="1"/>
  <c r="N88" i="15" s="1"/>
  <c r="O88" i="15" s="1"/>
  <c r="L87" i="15"/>
  <c r="M87" i="15" s="1"/>
  <c r="N87" i="15" s="1"/>
  <c r="O87" i="15" s="1"/>
  <c r="L71" i="15"/>
  <c r="M71" i="15" s="1"/>
  <c r="N71" i="15" s="1"/>
  <c r="O71" i="15" s="1"/>
  <c r="L55" i="15"/>
  <c r="L39" i="15"/>
  <c r="L31" i="15"/>
  <c r="L23" i="15"/>
  <c r="L15" i="15"/>
  <c r="L7" i="15"/>
  <c r="L80" i="15"/>
  <c r="M80" i="15" s="1"/>
  <c r="N80" i="15" s="1"/>
  <c r="O80" i="15" s="1"/>
  <c r="L86" i="15"/>
  <c r="M86" i="15" s="1"/>
  <c r="N86" i="15" s="1"/>
  <c r="O86" i="15" s="1"/>
  <c r="L78" i="15"/>
  <c r="M78" i="15" s="1"/>
  <c r="N78" i="15" s="1"/>
  <c r="O78" i="15" s="1"/>
  <c r="L70" i="15"/>
  <c r="M70" i="15" s="1"/>
  <c r="N70" i="15" s="1"/>
  <c r="O70" i="15" s="1"/>
  <c r="L62" i="15"/>
  <c r="L54" i="15"/>
  <c r="L46" i="15"/>
  <c r="L38" i="15"/>
  <c r="L6" i="15"/>
  <c r="L32" i="15"/>
  <c r="L93" i="15"/>
  <c r="M93" i="15" s="1"/>
  <c r="N93" i="15" s="1"/>
  <c r="O93" i="15" s="1"/>
  <c r="L85" i="15"/>
  <c r="M85" i="15" s="1"/>
  <c r="N85" i="15" s="1"/>
  <c r="O85" i="15" s="1"/>
  <c r="L77" i="15"/>
  <c r="M77" i="15" s="1"/>
  <c r="N77" i="15" s="1"/>
  <c r="O77" i="15" s="1"/>
  <c r="L69" i="15"/>
  <c r="M69" i="15" s="1"/>
  <c r="N69" i="15" s="1"/>
  <c r="O69" i="15" s="1"/>
  <c r="L61" i="15"/>
  <c r="L53" i="15"/>
  <c r="L45" i="15"/>
  <c r="L21" i="15"/>
  <c r="L13" i="15"/>
  <c r="L84" i="15"/>
  <c r="M84" i="15" s="1"/>
  <c r="N84" i="15" s="1"/>
  <c r="O84" i="15" s="1"/>
  <c r="L76" i="15"/>
  <c r="M76" i="15" s="1"/>
  <c r="N76" i="15" s="1"/>
  <c r="O76" i="15" s="1"/>
  <c r="L52" i="15"/>
  <c r="L44" i="15"/>
  <c r="L36" i="15"/>
  <c r="L28" i="15"/>
  <c r="L20" i="15"/>
  <c r="L12" i="15"/>
  <c r="L4" i="15"/>
  <c r="M19" i="15"/>
  <c r="N19" i="15" s="1"/>
  <c r="O63" i="15"/>
  <c r="O64" i="15"/>
  <c r="O65" i="15"/>
  <c r="O66" i="15"/>
  <c r="O68" i="15"/>
  <c r="O74" i="15"/>
  <c r="O79" i="15"/>
  <c r="O83" i="15"/>
  <c r="O92" i="15"/>
  <c r="O94" i="15"/>
  <c r="O96" i="15"/>
  <c r="P63" i="15" l="1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6" i="15"/>
  <c r="P97" i="15"/>
  <c r="P98" i="15"/>
  <c r="R88" i="15" l="1"/>
  <c r="S88" i="15"/>
  <c r="T88" i="15"/>
  <c r="U88" i="15"/>
  <c r="R64" i="15"/>
  <c r="S64" i="15"/>
  <c r="T64" i="15"/>
  <c r="U64" i="15"/>
  <c r="Q87" i="15"/>
  <c r="X87" i="15" s="1"/>
  <c r="R87" i="15"/>
  <c r="S87" i="15"/>
  <c r="T87" i="15"/>
  <c r="U87" i="15"/>
  <c r="Q79" i="15"/>
  <c r="X79" i="15" s="1"/>
  <c r="R79" i="15"/>
  <c r="S79" i="15"/>
  <c r="T79" i="15"/>
  <c r="U79" i="15"/>
  <c r="Q71" i="15"/>
  <c r="Z71" i="15" s="1"/>
  <c r="D91" i="17" s="1"/>
  <c r="R71" i="15"/>
  <c r="S71" i="15"/>
  <c r="T71" i="15"/>
  <c r="U71" i="15"/>
  <c r="Q63" i="15"/>
  <c r="X63" i="15" s="1"/>
  <c r="R63" i="15"/>
  <c r="S63" i="15"/>
  <c r="T63" i="15"/>
  <c r="U63" i="15"/>
  <c r="R94" i="15"/>
  <c r="S94" i="15"/>
  <c r="T94" i="15"/>
  <c r="U94" i="15"/>
  <c r="R86" i="15"/>
  <c r="S86" i="15"/>
  <c r="T86" i="15"/>
  <c r="U86" i="15"/>
  <c r="R78" i="15"/>
  <c r="S78" i="15"/>
  <c r="T78" i="15"/>
  <c r="U78" i="15"/>
  <c r="R70" i="15"/>
  <c r="S70" i="15"/>
  <c r="T70" i="15"/>
  <c r="U70" i="15"/>
  <c r="Q93" i="15"/>
  <c r="X93" i="15" s="1"/>
  <c r="R93" i="15"/>
  <c r="S93" i="15"/>
  <c r="T93" i="15"/>
  <c r="U93" i="15"/>
  <c r="Q85" i="15"/>
  <c r="X85" i="15" s="1"/>
  <c r="R85" i="15"/>
  <c r="S85" i="15"/>
  <c r="T85" i="15"/>
  <c r="U85" i="15"/>
  <c r="Q77" i="15"/>
  <c r="Z77" i="15" s="1"/>
  <c r="R77" i="15"/>
  <c r="S77" i="15"/>
  <c r="T77" i="15"/>
  <c r="U77" i="15"/>
  <c r="Q69" i="15"/>
  <c r="X69" i="15" s="1"/>
  <c r="R69" i="15"/>
  <c r="S69" i="15"/>
  <c r="T69" i="15"/>
  <c r="U69" i="15"/>
  <c r="R80" i="15"/>
  <c r="S80" i="15"/>
  <c r="T80" i="15"/>
  <c r="U80" i="15"/>
  <c r="R92" i="15"/>
  <c r="S92" i="15"/>
  <c r="T92" i="15"/>
  <c r="U92" i="15"/>
  <c r="Q76" i="15"/>
  <c r="Z76" i="15" s="1"/>
  <c r="D78" i="17" s="1"/>
  <c r="R76" i="15"/>
  <c r="S76" i="15"/>
  <c r="T76" i="15"/>
  <c r="U76" i="15"/>
  <c r="R83" i="15"/>
  <c r="S83" i="15"/>
  <c r="T83" i="15"/>
  <c r="U83" i="15"/>
  <c r="Q67" i="15"/>
  <c r="X67" i="15" s="1"/>
  <c r="R67" i="15"/>
  <c r="S67" i="15"/>
  <c r="T67" i="15"/>
  <c r="U67" i="15"/>
  <c r="Q90" i="15"/>
  <c r="Z90" i="15" s="1"/>
  <c r="R90" i="15"/>
  <c r="S90" i="15"/>
  <c r="T90" i="15"/>
  <c r="U90" i="15"/>
  <c r="Q82" i="15"/>
  <c r="X82" i="15" s="1"/>
  <c r="R82" i="15"/>
  <c r="S82" i="15"/>
  <c r="T82" i="15"/>
  <c r="U82" i="15"/>
  <c r="Q74" i="15"/>
  <c r="X74" i="15" s="1"/>
  <c r="R74" i="15"/>
  <c r="S74" i="15"/>
  <c r="T74" i="15"/>
  <c r="U74" i="15"/>
  <c r="Q66" i="15"/>
  <c r="X66" i="15" s="1"/>
  <c r="R66" i="15"/>
  <c r="S66" i="15"/>
  <c r="T66" i="15"/>
  <c r="U66" i="15"/>
  <c r="Q97" i="15"/>
  <c r="Z97" i="15" s="1"/>
  <c r="R97" i="15"/>
  <c r="S97" i="15"/>
  <c r="T97" i="15"/>
  <c r="U97" i="15"/>
  <c r="R72" i="15"/>
  <c r="S72" i="15"/>
  <c r="T72" i="15"/>
  <c r="U72" i="15"/>
  <c r="R96" i="15"/>
  <c r="S96" i="15"/>
  <c r="T96" i="15"/>
  <c r="U96" i="15"/>
  <c r="R84" i="15"/>
  <c r="S84" i="15"/>
  <c r="T84" i="15"/>
  <c r="U84" i="15"/>
  <c r="Q68" i="15"/>
  <c r="X68" i="15" s="1"/>
  <c r="R68" i="15"/>
  <c r="S68" i="15"/>
  <c r="T68" i="15"/>
  <c r="U68" i="15"/>
  <c r="Q91" i="15"/>
  <c r="Z91" i="15" s="1"/>
  <c r="R91" i="15"/>
  <c r="S91" i="15"/>
  <c r="T91" i="15"/>
  <c r="U91" i="15"/>
  <c r="Q75" i="15"/>
  <c r="X75" i="15" s="1"/>
  <c r="R75" i="15"/>
  <c r="S75" i="15"/>
  <c r="T75" i="15"/>
  <c r="U75" i="15"/>
  <c r="Q98" i="15"/>
  <c r="R98" i="15"/>
  <c r="S98" i="15"/>
  <c r="T98" i="15"/>
  <c r="U98" i="15"/>
  <c r="Q89" i="15"/>
  <c r="X89" i="15" s="1"/>
  <c r="R89" i="15"/>
  <c r="S89" i="15"/>
  <c r="T89" i="15"/>
  <c r="U89" i="15"/>
  <c r="R81" i="15"/>
  <c r="S81" i="15"/>
  <c r="T81" i="15"/>
  <c r="U81" i="15"/>
  <c r="Q73" i="15"/>
  <c r="X73" i="15" s="1"/>
  <c r="R73" i="15"/>
  <c r="S73" i="15"/>
  <c r="T73" i="15"/>
  <c r="U73" i="15"/>
  <c r="Q65" i="15"/>
  <c r="X65" i="15" s="1"/>
  <c r="R65" i="15"/>
  <c r="S65" i="15"/>
  <c r="T65" i="15"/>
  <c r="U65" i="15"/>
  <c r="Z98" i="15"/>
  <c r="Q70" i="15"/>
  <c r="Q83" i="15"/>
  <c r="X83" i="15" s="1"/>
  <c r="Q86" i="15"/>
  <c r="X86" i="15" s="1"/>
  <c r="Q92" i="15"/>
  <c r="X92" i="15" s="1"/>
  <c r="Q81" i="15"/>
  <c r="X81" i="15" s="1"/>
  <c r="Q94" i="15"/>
  <c r="X94" i="15" s="1"/>
  <c r="Q78" i="15"/>
  <c r="X78" i="15" s="1"/>
  <c r="Q84" i="15"/>
  <c r="X84" i="15" s="1"/>
  <c r="Q96" i="15"/>
  <c r="Q88" i="15"/>
  <c r="Q80" i="15"/>
  <c r="X80" i="15" s="1"/>
  <c r="Q72" i="15"/>
  <c r="X72" i="15" s="1"/>
  <c r="Q64" i="15"/>
  <c r="X64" i="15" s="1"/>
  <c r="AB4" i="15"/>
  <c r="AB5" i="15"/>
  <c r="AB6" i="15"/>
  <c r="AB7" i="15"/>
  <c r="AB8" i="15"/>
  <c r="AB9" i="15"/>
  <c r="AB10" i="15"/>
  <c r="AB11" i="15"/>
  <c r="AB12" i="15"/>
  <c r="AC12" i="15" s="1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AB38" i="15"/>
  <c r="AB39" i="15"/>
  <c r="AB40" i="15"/>
  <c r="AB41" i="15"/>
  <c r="AB42" i="15"/>
  <c r="AB43" i="15"/>
  <c r="AB44" i="15"/>
  <c r="AB45" i="15"/>
  <c r="AB46" i="15"/>
  <c r="AB47" i="15"/>
  <c r="AB48" i="15"/>
  <c r="AB49" i="15"/>
  <c r="AB50" i="15"/>
  <c r="AB51" i="15"/>
  <c r="AB53" i="15"/>
  <c r="AC53" i="15" s="1"/>
  <c r="AB54" i="15"/>
  <c r="AC54" i="15" s="1"/>
  <c r="AB55" i="15"/>
  <c r="AC55" i="15" s="1"/>
  <c r="AB56" i="15"/>
  <c r="AC56" i="15" s="1"/>
  <c r="AB57" i="15"/>
  <c r="AC57" i="15" s="1"/>
  <c r="AB58" i="15"/>
  <c r="AC58" i="15" s="1"/>
  <c r="AB59" i="15"/>
  <c r="AC59" i="15" s="1"/>
  <c r="AB60" i="15"/>
  <c r="AC60" i="15" s="1"/>
  <c r="AB61" i="15"/>
  <c r="AB62" i="15"/>
  <c r="AB63" i="15"/>
  <c r="AB64" i="15"/>
  <c r="AB65" i="15"/>
  <c r="AB66" i="15"/>
  <c r="AB67" i="15"/>
  <c r="AB68" i="15"/>
  <c r="AB69" i="15"/>
  <c r="AB70" i="15"/>
  <c r="AB71" i="15"/>
  <c r="AB72" i="15"/>
  <c r="AB73" i="15"/>
  <c r="AB74" i="15"/>
  <c r="AB75" i="15"/>
  <c r="AB76" i="15"/>
  <c r="AB77" i="15"/>
  <c r="AB78" i="15"/>
  <c r="AB79" i="15"/>
  <c r="AB80" i="15"/>
  <c r="AB81" i="15"/>
  <c r="AB82" i="15"/>
  <c r="AB83" i="15"/>
  <c r="AB84" i="15"/>
  <c r="AB85" i="15"/>
  <c r="AB86" i="15"/>
  <c r="AB87" i="15"/>
  <c r="AB88" i="15"/>
  <c r="AC88" i="15" s="1"/>
  <c r="AB89" i="15"/>
  <c r="AC89" i="15" s="1"/>
  <c r="AB90" i="15"/>
  <c r="AC90" i="15" s="1"/>
  <c r="AB91" i="15"/>
  <c r="AC91" i="15" s="1"/>
  <c r="AB92" i="15"/>
  <c r="AC92" i="15" s="1"/>
  <c r="AB93" i="15"/>
  <c r="AC93" i="15" s="1"/>
  <c r="AB94" i="15"/>
  <c r="AC94" i="15" s="1"/>
  <c r="AB95" i="15"/>
  <c r="AC95" i="15" s="1"/>
  <c r="AB96" i="15"/>
  <c r="AC96" i="15" s="1"/>
  <c r="AB97" i="15"/>
  <c r="AC97" i="15" s="1"/>
  <c r="AB98" i="15"/>
  <c r="AC98" i="15" s="1"/>
  <c r="AC3" i="15"/>
  <c r="E3" i="15"/>
  <c r="M3" i="15" s="1"/>
  <c r="N3" i="15" s="1"/>
  <c r="E5" i="15"/>
  <c r="M5" i="15" s="1"/>
  <c r="N5" i="15" s="1"/>
  <c r="E4" i="15"/>
  <c r="M4" i="15" s="1"/>
  <c r="N4" i="15" s="1"/>
  <c r="E7" i="15"/>
  <c r="M7" i="15" s="1"/>
  <c r="N7" i="15" s="1"/>
  <c r="E6" i="15"/>
  <c r="M6" i="15" s="1"/>
  <c r="N6" i="15" s="1"/>
  <c r="E8" i="15"/>
  <c r="M8" i="15" s="1"/>
  <c r="N8" i="15" s="1"/>
  <c r="E9" i="15"/>
  <c r="M9" i="15" s="1"/>
  <c r="N9" i="15" s="1"/>
  <c r="E10" i="15"/>
  <c r="M10" i="15" s="1"/>
  <c r="N10" i="15" s="1"/>
  <c r="E11" i="15"/>
  <c r="M11" i="15" s="1"/>
  <c r="N11" i="15" s="1"/>
  <c r="E12" i="15"/>
  <c r="M12" i="15" s="1"/>
  <c r="N12" i="15" s="1"/>
  <c r="E13" i="15"/>
  <c r="M13" i="15" s="1"/>
  <c r="N13" i="15" s="1"/>
  <c r="E14" i="15"/>
  <c r="M14" i="15" s="1"/>
  <c r="N14" i="15" s="1"/>
  <c r="E15" i="15"/>
  <c r="M15" i="15" s="1"/>
  <c r="N15" i="15" s="1"/>
  <c r="E16" i="15"/>
  <c r="M16" i="15" s="1"/>
  <c r="N16" i="15" s="1"/>
  <c r="E17" i="15"/>
  <c r="M17" i="15" s="1"/>
  <c r="N17" i="15" s="1"/>
  <c r="E18" i="15"/>
  <c r="M18" i="15" s="1"/>
  <c r="N18" i="15" s="1"/>
  <c r="E20" i="15"/>
  <c r="M20" i="15" s="1"/>
  <c r="N20" i="15" s="1"/>
  <c r="E21" i="15"/>
  <c r="M21" i="15" s="1"/>
  <c r="N21" i="15" s="1"/>
  <c r="E22" i="15"/>
  <c r="M22" i="15" s="1"/>
  <c r="N22" i="15" s="1"/>
  <c r="E23" i="15"/>
  <c r="M23" i="15" s="1"/>
  <c r="N23" i="15" s="1"/>
  <c r="E24" i="15"/>
  <c r="M24" i="15" s="1"/>
  <c r="N24" i="15" s="1"/>
  <c r="E25" i="15"/>
  <c r="M25" i="15" s="1"/>
  <c r="N25" i="15" s="1"/>
  <c r="E26" i="15"/>
  <c r="M26" i="15" s="1"/>
  <c r="N26" i="15" s="1"/>
  <c r="E28" i="15"/>
  <c r="M28" i="15" s="1"/>
  <c r="N28" i="15" s="1"/>
  <c r="E27" i="15"/>
  <c r="M27" i="15" s="1"/>
  <c r="N27" i="15" s="1"/>
  <c r="E29" i="15"/>
  <c r="M29" i="15" s="1"/>
  <c r="N29" i="15" s="1"/>
  <c r="E34" i="15"/>
  <c r="M34" i="15" s="1"/>
  <c r="N34" i="15" s="1"/>
  <c r="E33" i="15"/>
  <c r="M33" i="15" s="1"/>
  <c r="N33" i="15" s="1"/>
  <c r="E32" i="15"/>
  <c r="M32" i="15" s="1"/>
  <c r="N32" i="15" s="1"/>
  <c r="E31" i="15"/>
  <c r="M31" i="15" s="1"/>
  <c r="N31" i="15" s="1"/>
  <c r="E30" i="15"/>
  <c r="M30" i="15" s="1"/>
  <c r="N30" i="15" s="1"/>
  <c r="E36" i="15"/>
  <c r="M36" i="15" s="1"/>
  <c r="N36" i="15" s="1"/>
  <c r="E35" i="15"/>
  <c r="M35" i="15" s="1"/>
  <c r="N35" i="15" s="1"/>
  <c r="P35" i="15" s="1"/>
  <c r="E39" i="15"/>
  <c r="M39" i="15" s="1"/>
  <c r="N39" i="15" s="1"/>
  <c r="E38" i="15"/>
  <c r="M38" i="15" s="1"/>
  <c r="N38" i="15" s="1"/>
  <c r="E37" i="15"/>
  <c r="M37" i="15" s="1"/>
  <c r="N37" i="15" s="1"/>
  <c r="E41" i="15"/>
  <c r="M41" i="15" s="1"/>
  <c r="N41" i="15" s="1"/>
  <c r="E40" i="15"/>
  <c r="M40" i="15" s="1"/>
  <c r="N40" i="15" s="1"/>
  <c r="E43" i="15"/>
  <c r="M43" i="15" s="1"/>
  <c r="N43" i="15" s="1"/>
  <c r="E42" i="15"/>
  <c r="M42" i="15" s="1"/>
  <c r="N42" i="15" s="1"/>
  <c r="E46" i="15"/>
  <c r="M46" i="15" s="1"/>
  <c r="N46" i="15" s="1"/>
  <c r="E45" i="15"/>
  <c r="M45" i="15" s="1"/>
  <c r="N45" i="15" s="1"/>
  <c r="E44" i="15"/>
  <c r="M44" i="15" s="1"/>
  <c r="N44" i="15" s="1"/>
  <c r="E50" i="15"/>
  <c r="M50" i="15" s="1"/>
  <c r="N50" i="15" s="1"/>
  <c r="E49" i="15"/>
  <c r="M49" i="15" s="1"/>
  <c r="N49" i="15" s="1"/>
  <c r="E48" i="15"/>
  <c r="M48" i="15" s="1"/>
  <c r="N48" i="15" s="1"/>
  <c r="E47" i="15"/>
  <c r="M47" i="15" s="1"/>
  <c r="N47" i="15" s="1"/>
  <c r="E51" i="15"/>
  <c r="M51" i="15" s="1"/>
  <c r="N51" i="15" s="1"/>
  <c r="E53" i="15"/>
  <c r="M53" i="15" s="1"/>
  <c r="N53" i="15" s="1"/>
  <c r="E54" i="15"/>
  <c r="M54" i="15" s="1"/>
  <c r="N54" i="15" s="1"/>
  <c r="E55" i="15"/>
  <c r="M55" i="15" s="1"/>
  <c r="N55" i="15" s="1"/>
  <c r="E57" i="15"/>
  <c r="M57" i="15" s="1"/>
  <c r="N57" i="15" s="1"/>
  <c r="E56" i="15"/>
  <c r="M56" i="15" s="1"/>
  <c r="N56" i="15" s="1"/>
  <c r="E59" i="15"/>
  <c r="M59" i="15" s="1"/>
  <c r="N59" i="15" s="1"/>
  <c r="E58" i="15"/>
  <c r="M58" i="15" s="1"/>
  <c r="N58" i="15" s="1"/>
  <c r="E61" i="15"/>
  <c r="M61" i="15" s="1"/>
  <c r="N61" i="15" s="1"/>
  <c r="E62" i="15"/>
  <c r="M62" i="15" s="1"/>
  <c r="N62" i="15" s="1"/>
  <c r="D53" i="17" l="1"/>
  <c r="D54" i="17"/>
  <c r="D69" i="17"/>
  <c r="D70" i="17"/>
  <c r="D96" i="17"/>
  <c r="D97" i="17"/>
  <c r="D94" i="17"/>
  <c r="D95" i="17"/>
  <c r="D98" i="17"/>
  <c r="D99" i="17"/>
  <c r="P3" i="15"/>
  <c r="O3" i="15"/>
  <c r="Z68" i="15"/>
  <c r="Z74" i="15"/>
  <c r="Z69" i="15"/>
  <c r="Z89" i="15"/>
  <c r="Z63" i="15"/>
  <c r="Z82" i="15"/>
  <c r="Z87" i="15"/>
  <c r="Z79" i="15"/>
  <c r="Z73" i="15"/>
  <c r="D59" i="17" s="1"/>
  <c r="Z66" i="15"/>
  <c r="Z65" i="15"/>
  <c r="Z93" i="15"/>
  <c r="Z85" i="15"/>
  <c r="Z67" i="15"/>
  <c r="D60" i="17" s="1"/>
  <c r="Z75" i="15"/>
  <c r="D77" i="17" s="1"/>
  <c r="Z72" i="15"/>
  <c r="Z84" i="15"/>
  <c r="Z81" i="15"/>
  <c r="D71" i="17" s="1"/>
  <c r="Z70" i="15"/>
  <c r="Z80" i="15"/>
  <c r="Z92" i="15"/>
  <c r="D67" i="17" s="1"/>
  <c r="Z88" i="15"/>
  <c r="Z78" i="15"/>
  <c r="D61" i="17" s="1"/>
  <c r="Z86" i="15"/>
  <c r="D68" i="17" s="1"/>
  <c r="M60" i="15"/>
  <c r="N60" i="15" s="1"/>
  <c r="M52" i="15"/>
  <c r="N52" i="15" s="1"/>
  <c r="M95" i="15"/>
  <c r="N95" i="15" s="1"/>
  <c r="Z64" i="15"/>
  <c r="Z96" i="15"/>
  <c r="Z94" i="15"/>
  <c r="Z83" i="15"/>
  <c r="AC65" i="15"/>
  <c r="AC78" i="15"/>
  <c r="AC30" i="15"/>
  <c r="AC6" i="15"/>
  <c r="AC84" i="15"/>
  <c r="AC72" i="15"/>
  <c r="AC48" i="15"/>
  <c r="AC36" i="15"/>
  <c r="AC24" i="15"/>
  <c r="AC83" i="15"/>
  <c r="AC51" i="15"/>
  <c r="AC41" i="15"/>
  <c r="AC35" i="15"/>
  <c r="AC17" i="15"/>
  <c r="AC11" i="15"/>
  <c r="AC81" i="15"/>
  <c r="AC33" i="15"/>
  <c r="AC9" i="15"/>
  <c r="AC86" i="15"/>
  <c r="AC80" i="15"/>
  <c r="AC68" i="15"/>
  <c r="AC62" i="15"/>
  <c r="AC44" i="15"/>
  <c r="AC38" i="15"/>
  <c r="AC32" i="15"/>
  <c r="AC20" i="15"/>
  <c r="AC14" i="15"/>
  <c r="AC8" i="15"/>
  <c r="AC75" i="15"/>
  <c r="AC27" i="15"/>
  <c r="AC76" i="15"/>
  <c r="AC70" i="15"/>
  <c r="AC64" i="15"/>
  <c r="AC46" i="15"/>
  <c r="AC40" i="15"/>
  <c r="AC28" i="15"/>
  <c r="AC22" i="15"/>
  <c r="AC16" i="15"/>
  <c r="AC4" i="15"/>
  <c r="AC73" i="15"/>
  <c r="AC67" i="15"/>
  <c r="AC49" i="15"/>
  <c r="AC43" i="15"/>
  <c r="AC25" i="15"/>
  <c r="O37" i="15"/>
  <c r="O6" i="15"/>
  <c r="O54" i="15"/>
  <c r="O39" i="15"/>
  <c r="O13" i="15"/>
  <c r="O62" i="15"/>
  <c r="O53" i="15"/>
  <c r="O46" i="15"/>
  <c r="O35" i="15"/>
  <c r="O27" i="15"/>
  <c r="O20" i="15"/>
  <c r="O12" i="15"/>
  <c r="O5" i="15"/>
  <c r="AC85" i="15"/>
  <c r="AC77" i="15"/>
  <c r="AC69" i="15"/>
  <c r="AC61" i="15"/>
  <c r="AC45" i="15"/>
  <c r="AC37" i="15"/>
  <c r="AC29" i="15"/>
  <c r="AC21" i="15"/>
  <c r="AC13" i="15"/>
  <c r="AC5" i="15"/>
  <c r="O19" i="15"/>
  <c r="O50" i="15"/>
  <c r="O15" i="15"/>
  <c r="O45" i="15"/>
  <c r="O21" i="15"/>
  <c r="O61" i="15"/>
  <c r="O51" i="15"/>
  <c r="O42" i="15"/>
  <c r="O36" i="15"/>
  <c r="O28" i="15"/>
  <c r="O18" i="15"/>
  <c r="O11" i="15"/>
  <c r="O47" i="15"/>
  <c r="O59" i="15"/>
  <c r="O48" i="15"/>
  <c r="O40" i="15"/>
  <c r="O31" i="15"/>
  <c r="O25" i="15"/>
  <c r="O17" i="15"/>
  <c r="O9" i="15"/>
  <c r="AC82" i="15"/>
  <c r="AC74" i="15"/>
  <c r="AC66" i="15"/>
  <c r="AC50" i="15"/>
  <c r="AC42" i="15"/>
  <c r="AC34" i="15"/>
  <c r="AC26" i="15"/>
  <c r="AC18" i="15"/>
  <c r="AC10" i="15"/>
  <c r="O26" i="15"/>
  <c r="O56" i="15"/>
  <c r="O49" i="15"/>
  <c r="O41" i="15"/>
  <c r="O32" i="15"/>
  <c r="O24" i="15"/>
  <c r="O16" i="15"/>
  <c r="O8" i="15"/>
  <c r="O43" i="15"/>
  <c r="O23" i="15"/>
  <c r="O30" i="15"/>
  <c r="O57" i="15"/>
  <c r="O55" i="15"/>
  <c r="O44" i="15"/>
  <c r="O38" i="15"/>
  <c r="O34" i="15"/>
  <c r="O22" i="15"/>
  <c r="O14" i="15"/>
  <c r="O7" i="15"/>
  <c r="AC87" i="15"/>
  <c r="AC79" i="15"/>
  <c r="AC71" i="15"/>
  <c r="AC63" i="15"/>
  <c r="AC47" i="15"/>
  <c r="AC39" i="15"/>
  <c r="AC31" i="15"/>
  <c r="AC23" i="15"/>
  <c r="AC15" i="15"/>
  <c r="AC7" i="15"/>
  <c r="O58" i="15"/>
  <c r="O10" i="15"/>
  <c r="O33" i="15"/>
  <c r="O29" i="15"/>
  <c r="O4" i="15"/>
  <c r="AC19" i="15"/>
  <c r="D76" i="17" l="1"/>
  <c r="D88" i="17"/>
  <c r="D50" i="17"/>
  <c r="D72" i="17"/>
  <c r="D73" i="17"/>
  <c r="D86" i="17"/>
  <c r="D87" i="17"/>
  <c r="D57" i="17"/>
  <c r="D58" i="17"/>
  <c r="D82" i="17"/>
  <c r="D83" i="17"/>
  <c r="D92" i="17"/>
  <c r="D93" i="17"/>
  <c r="D65" i="17"/>
  <c r="D66" i="17"/>
  <c r="D84" i="17"/>
  <c r="D85" i="17"/>
  <c r="O52" i="15"/>
  <c r="P60" i="15"/>
  <c r="O95" i="15"/>
  <c r="P95" i="15"/>
  <c r="P4" i="15"/>
  <c r="P58" i="15"/>
  <c r="P14" i="15"/>
  <c r="P44" i="15"/>
  <c r="P23" i="15"/>
  <c r="P24" i="15"/>
  <c r="P56" i="15"/>
  <c r="P9" i="15"/>
  <c r="P40" i="15"/>
  <c r="P36" i="15"/>
  <c r="P21" i="15"/>
  <c r="P19" i="15"/>
  <c r="P12" i="15"/>
  <c r="P46" i="15"/>
  <c r="P39" i="15"/>
  <c r="P29" i="15"/>
  <c r="P22" i="15"/>
  <c r="P55" i="15"/>
  <c r="P43" i="15"/>
  <c r="P32" i="15"/>
  <c r="P26" i="15"/>
  <c r="P17" i="15"/>
  <c r="P48" i="15"/>
  <c r="P11" i="15"/>
  <c r="P42" i="15"/>
  <c r="P45" i="15"/>
  <c r="P20" i="15"/>
  <c r="P53" i="15"/>
  <c r="P54" i="15"/>
  <c r="P33" i="15"/>
  <c r="P34" i="15"/>
  <c r="P57" i="15"/>
  <c r="P8" i="15"/>
  <c r="P41" i="15"/>
  <c r="P25" i="15"/>
  <c r="P59" i="15"/>
  <c r="P18" i="15"/>
  <c r="P51" i="15"/>
  <c r="P15" i="15"/>
  <c r="P27" i="15"/>
  <c r="P62" i="15"/>
  <c r="P6" i="15"/>
  <c r="P10" i="15"/>
  <c r="P7" i="15"/>
  <c r="P38" i="15"/>
  <c r="P30" i="15"/>
  <c r="P16" i="15"/>
  <c r="P49" i="15"/>
  <c r="P31" i="15"/>
  <c r="P47" i="15"/>
  <c r="P28" i="15"/>
  <c r="P61" i="15"/>
  <c r="P50" i="15"/>
  <c r="P5" i="15"/>
  <c r="P13" i="15"/>
  <c r="P37" i="15"/>
  <c r="R5" i="15" l="1"/>
  <c r="S5" i="15"/>
  <c r="T5" i="15"/>
  <c r="U5" i="15"/>
  <c r="R30" i="15"/>
  <c r="S30" i="15"/>
  <c r="T30" i="15"/>
  <c r="U30" i="15"/>
  <c r="R33" i="15"/>
  <c r="S33" i="15"/>
  <c r="T33" i="15"/>
  <c r="U33" i="15"/>
  <c r="R17" i="15"/>
  <c r="S17" i="15"/>
  <c r="T17" i="15"/>
  <c r="U17" i="15"/>
  <c r="R50" i="15"/>
  <c r="S50" i="15"/>
  <c r="T50" i="15"/>
  <c r="U50" i="15"/>
  <c r="R18" i="15"/>
  <c r="S18" i="15"/>
  <c r="T18" i="15"/>
  <c r="U18" i="15"/>
  <c r="R54" i="15"/>
  <c r="S54" i="15"/>
  <c r="T54" i="15"/>
  <c r="U54" i="15"/>
  <c r="R12" i="15"/>
  <c r="S12" i="15"/>
  <c r="T12" i="15"/>
  <c r="U12" i="15"/>
  <c r="R24" i="15"/>
  <c r="S24" i="15"/>
  <c r="T24" i="15"/>
  <c r="U24" i="15"/>
  <c r="R7" i="15"/>
  <c r="S7" i="15"/>
  <c r="T7" i="15"/>
  <c r="U7" i="15"/>
  <c r="R32" i="15"/>
  <c r="S32" i="15"/>
  <c r="T32" i="15"/>
  <c r="U32" i="15"/>
  <c r="R23" i="15"/>
  <c r="S23" i="15"/>
  <c r="T23" i="15"/>
  <c r="U23" i="15"/>
  <c r="R25" i="15"/>
  <c r="S25" i="15"/>
  <c r="T25" i="15"/>
  <c r="U25" i="15"/>
  <c r="R43" i="15"/>
  <c r="S43" i="15"/>
  <c r="T43" i="15"/>
  <c r="U43" i="15"/>
  <c r="R21" i="15"/>
  <c r="S21" i="15"/>
  <c r="T21" i="15"/>
  <c r="U21" i="15"/>
  <c r="R44" i="15"/>
  <c r="S44" i="15"/>
  <c r="T44" i="15"/>
  <c r="U44" i="15"/>
  <c r="R28" i="15"/>
  <c r="S28" i="15"/>
  <c r="T28" i="15"/>
  <c r="U28" i="15"/>
  <c r="R10" i="15"/>
  <c r="S10" i="15"/>
  <c r="T10" i="15"/>
  <c r="U10" i="15"/>
  <c r="R20" i="15"/>
  <c r="S20" i="15"/>
  <c r="T20" i="15"/>
  <c r="U20" i="15"/>
  <c r="R47" i="15"/>
  <c r="S47" i="15"/>
  <c r="T47" i="15"/>
  <c r="U47" i="15"/>
  <c r="R6" i="15"/>
  <c r="S6" i="15"/>
  <c r="T6" i="15"/>
  <c r="U6" i="15"/>
  <c r="R41" i="15"/>
  <c r="S41" i="15"/>
  <c r="T41" i="15"/>
  <c r="U41" i="15"/>
  <c r="R45" i="15"/>
  <c r="S45" i="15"/>
  <c r="T45" i="15"/>
  <c r="U45" i="15"/>
  <c r="R55" i="15"/>
  <c r="S55" i="15"/>
  <c r="T55" i="15"/>
  <c r="U55" i="15"/>
  <c r="R36" i="15"/>
  <c r="S36" i="15"/>
  <c r="T36" i="15"/>
  <c r="U36" i="15"/>
  <c r="R14" i="15"/>
  <c r="S14" i="15"/>
  <c r="T14" i="15"/>
  <c r="U14" i="15"/>
  <c r="R37" i="15"/>
  <c r="S37" i="15"/>
  <c r="T37" i="15"/>
  <c r="U37" i="15"/>
  <c r="R31" i="15"/>
  <c r="S31" i="15"/>
  <c r="T31" i="15"/>
  <c r="U31" i="15"/>
  <c r="R62" i="15"/>
  <c r="S62" i="15"/>
  <c r="T62" i="15"/>
  <c r="U62" i="15"/>
  <c r="R8" i="15"/>
  <c r="S8" i="15"/>
  <c r="T8" i="15"/>
  <c r="U8" i="15"/>
  <c r="R42" i="15"/>
  <c r="S42" i="15"/>
  <c r="T42" i="15"/>
  <c r="U42" i="15"/>
  <c r="R22" i="15"/>
  <c r="S22" i="15"/>
  <c r="T22" i="15"/>
  <c r="U22" i="15"/>
  <c r="U3" i="15"/>
  <c r="T3" i="15"/>
  <c r="S3" i="15"/>
  <c r="R3" i="15"/>
  <c r="R58" i="15"/>
  <c r="S58" i="15"/>
  <c r="T58" i="15"/>
  <c r="U58" i="15"/>
  <c r="R13" i="15"/>
  <c r="S13" i="15"/>
  <c r="T13" i="15"/>
  <c r="U13" i="15"/>
  <c r="R49" i="15"/>
  <c r="S49" i="15"/>
  <c r="T49" i="15"/>
  <c r="U49" i="15"/>
  <c r="R27" i="15"/>
  <c r="S27" i="15"/>
  <c r="T27" i="15"/>
  <c r="U27" i="15"/>
  <c r="R57" i="15"/>
  <c r="S57" i="15"/>
  <c r="T57" i="15"/>
  <c r="U57" i="15"/>
  <c r="R11" i="15"/>
  <c r="S11" i="15"/>
  <c r="T11" i="15"/>
  <c r="U11" i="15"/>
  <c r="R29" i="15"/>
  <c r="S29" i="15"/>
  <c r="T29" i="15"/>
  <c r="U29" i="15"/>
  <c r="R40" i="15"/>
  <c r="S40" i="15"/>
  <c r="T40" i="15"/>
  <c r="U40" i="15"/>
  <c r="R4" i="15"/>
  <c r="S4" i="15"/>
  <c r="T4" i="15"/>
  <c r="U4" i="15"/>
  <c r="R95" i="15"/>
  <c r="S95" i="15"/>
  <c r="T95" i="15"/>
  <c r="U95" i="15"/>
  <c r="R46" i="15"/>
  <c r="S46" i="15"/>
  <c r="T46" i="15"/>
  <c r="U46" i="15"/>
  <c r="R56" i="15"/>
  <c r="S56" i="15"/>
  <c r="T56" i="15"/>
  <c r="U56" i="15"/>
  <c r="R38" i="15"/>
  <c r="S38" i="15"/>
  <c r="T38" i="15"/>
  <c r="U38" i="15"/>
  <c r="R26" i="15"/>
  <c r="S26" i="15"/>
  <c r="T26" i="15"/>
  <c r="U26" i="15"/>
  <c r="R61" i="15"/>
  <c r="S61" i="15"/>
  <c r="T61" i="15"/>
  <c r="U61" i="15"/>
  <c r="R59" i="15"/>
  <c r="S59" i="15"/>
  <c r="T59" i="15"/>
  <c r="U59" i="15"/>
  <c r="R53" i="15"/>
  <c r="S53" i="15"/>
  <c r="T53" i="15"/>
  <c r="U53" i="15"/>
  <c r="R19" i="15"/>
  <c r="S19" i="15"/>
  <c r="T19" i="15"/>
  <c r="U19" i="15"/>
  <c r="R35" i="15"/>
  <c r="S35" i="15"/>
  <c r="T35" i="15"/>
  <c r="U35" i="15"/>
  <c r="R16" i="15"/>
  <c r="S16" i="15"/>
  <c r="T16" i="15"/>
  <c r="U16" i="15"/>
  <c r="R15" i="15"/>
  <c r="S15" i="15"/>
  <c r="T15" i="15"/>
  <c r="U15" i="15"/>
  <c r="R34" i="15"/>
  <c r="S34" i="15"/>
  <c r="T34" i="15"/>
  <c r="U34" i="15"/>
  <c r="R48" i="15"/>
  <c r="S48" i="15"/>
  <c r="T48" i="15"/>
  <c r="U48" i="15"/>
  <c r="R39" i="15"/>
  <c r="S39" i="15"/>
  <c r="T39" i="15"/>
  <c r="U39" i="15"/>
  <c r="R9" i="15"/>
  <c r="S9" i="15"/>
  <c r="T9" i="15"/>
  <c r="U9" i="15"/>
  <c r="R51" i="15"/>
  <c r="S51" i="15"/>
  <c r="T51" i="15"/>
  <c r="U51" i="15"/>
  <c r="R60" i="15"/>
  <c r="S60" i="15"/>
  <c r="T60" i="15"/>
  <c r="U60" i="15"/>
  <c r="O60" i="15"/>
  <c r="P52" i="15"/>
  <c r="Q60" i="15"/>
  <c r="X60" i="15" s="1"/>
  <c r="Q95" i="15"/>
  <c r="X95" i="15" s="1"/>
  <c r="Q17" i="15"/>
  <c r="X17" i="15" s="1"/>
  <c r="Q46" i="15"/>
  <c r="X46" i="15" s="1"/>
  <c r="Q56" i="15"/>
  <c r="X56" i="15" s="1"/>
  <c r="Q61" i="15"/>
  <c r="X61" i="15" s="1"/>
  <c r="Q7" i="15"/>
  <c r="X7" i="15" s="1"/>
  <c r="Q59" i="15"/>
  <c r="X59" i="15" s="1"/>
  <c r="Q54" i="15"/>
  <c r="X54" i="15" s="1"/>
  <c r="Q26" i="15"/>
  <c r="X26" i="15" s="1"/>
  <c r="Q12" i="15"/>
  <c r="X12" i="15" s="1"/>
  <c r="Q24" i="15"/>
  <c r="X24" i="15" s="1"/>
  <c r="Q30" i="15"/>
  <c r="X30" i="15" s="1"/>
  <c r="Q33" i="15"/>
  <c r="X33" i="15" s="1"/>
  <c r="Q39" i="15"/>
  <c r="X39" i="15" s="1"/>
  <c r="Q18" i="15"/>
  <c r="X18" i="15" s="1"/>
  <c r="Q28" i="15"/>
  <c r="Q25" i="15"/>
  <c r="X25" i="15" s="1"/>
  <c r="Q32" i="15"/>
  <c r="X32" i="15" s="1"/>
  <c r="Q23" i="15"/>
  <c r="X23" i="15" s="1"/>
  <c r="Q6" i="15"/>
  <c r="X6" i="15" s="1"/>
  <c r="Q20" i="15"/>
  <c r="X20" i="15" s="1"/>
  <c r="Q44" i="15"/>
  <c r="X44" i="15" s="1"/>
  <c r="Q31" i="15"/>
  <c r="Q62" i="15"/>
  <c r="X62" i="15" s="1"/>
  <c r="Q8" i="15"/>
  <c r="X8" i="15" s="1"/>
  <c r="Q45" i="15"/>
  <c r="X45" i="15" s="1"/>
  <c r="Q55" i="15"/>
  <c r="X55" i="15" s="1"/>
  <c r="Q36" i="15"/>
  <c r="X36" i="15" s="1"/>
  <c r="Q14" i="15"/>
  <c r="X14" i="15" s="1"/>
  <c r="Q5" i="15"/>
  <c r="X5" i="15" s="1"/>
  <c r="Q51" i="15"/>
  <c r="X51" i="15" s="1"/>
  <c r="Q48" i="15"/>
  <c r="X48" i="15" s="1"/>
  <c r="Q50" i="15"/>
  <c r="X50" i="15" s="1"/>
  <c r="Q38" i="15"/>
  <c r="X38" i="15" s="1"/>
  <c r="Q10" i="15"/>
  <c r="X10" i="15" s="1"/>
  <c r="Q53" i="15"/>
  <c r="X53" i="15" s="1"/>
  <c r="Q19" i="15"/>
  <c r="X19" i="15" s="1"/>
  <c r="Q47" i="15"/>
  <c r="X47" i="15" s="1"/>
  <c r="Q21" i="15"/>
  <c r="X21" i="15" s="1"/>
  <c r="Q49" i="15"/>
  <c r="X49" i="15" s="1"/>
  <c r="Q27" i="15"/>
  <c r="X27" i="15" s="1"/>
  <c r="Q57" i="15"/>
  <c r="X57" i="15" s="1"/>
  <c r="Q42" i="15"/>
  <c r="X42" i="15" s="1"/>
  <c r="Q22" i="15"/>
  <c r="X22" i="15" s="1"/>
  <c r="X3" i="15"/>
  <c r="Q58" i="15"/>
  <c r="X58" i="15" s="1"/>
  <c r="Q9" i="15"/>
  <c r="X9" i="15" s="1"/>
  <c r="Q41" i="15"/>
  <c r="X41" i="15" s="1"/>
  <c r="Q43" i="15"/>
  <c r="Q37" i="15"/>
  <c r="Q13" i="15"/>
  <c r="X13" i="15" s="1"/>
  <c r="Q35" i="15"/>
  <c r="X35" i="15" s="1"/>
  <c r="Q16" i="15"/>
  <c r="X16" i="15" s="1"/>
  <c r="Q15" i="15"/>
  <c r="X15" i="15" s="1"/>
  <c r="Q34" i="15"/>
  <c r="X34" i="15" s="1"/>
  <c r="Q11" i="15"/>
  <c r="X11" i="15" s="1"/>
  <c r="Q29" i="15"/>
  <c r="X29" i="15" s="1"/>
  <c r="Q40" i="15"/>
  <c r="Q4" i="15"/>
  <c r="X4" i="15" s="1"/>
  <c r="Q52" i="15" l="1"/>
  <c r="X52" i="15" s="1"/>
  <c r="R52" i="15"/>
  <c r="S52" i="15"/>
  <c r="T52" i="15"/>
  <c r="U52" i="15"/>
  <c r="Z31" i="15"/>
  <c r="D90" i="17" s="1"/>
  <c r="Z18" i="15"/>
  <c r="Z59" i="15"/>
  <c r="Z60" i="15"/>
  <c r="Z40" i="15"/>
  <c r="D89" i="17" s="1"/>
  <c r="Z37" i="15"/>
  <c r="Z57" i="15"/>
  <c r="D48" i="17" s="1"/>
  <c r="Z38" i="15"/>
  <c r="Z45" i="15"/>
  <c r="D16" i="17" s="1"/>
  <c r="Z32" i="15"/>
  <c r="Z12" i="15"/>
  <c r="D29" i="17" s="1"/>
  <c r="Z17" i="15"/>
  <c r="Z16" i="15"/>
  <c r="Z19" i="15"/>
  <c r="D27" i="17" s="1"/>
  <c r="Z14" i="15"/>
  <c r="Z20" i="15"/>
  <c r="Z33" i="15"/>
  <c r="D47" i="17" s="1"/>
  <c r="Z61" i="15"/>
  <c r="D64" i="17" s="1"/>
  <c r="Z51" i="15"/>
  <c r="D34" i="17" s="1"/>
  <c r="Z41" i="15"/>
  <c r="Z49" i="15"/>
  <c r="D36" i="17" s="1"/>
  <c r="Z62" i="15"/>
  <c r="Z28" i="15"/>
  <c r="D79" i="17" s="1"/>
  <c r="Z4" i="15"/>
  <c r="Z13" i="15"/>
  <c r="D21" i="17" s="1"/>
  <c r="Z42" i="15"/>
  <c r="D28" i="17" s="1"/>
  <c r="Z55" i="15"/>
  <c r="Z23" i="15"/>
  <c r="Z24" i="15"/>
  <c r="Z46" i="15"/>
  <c r="D52" i="17" s="1"/>
  <c r="Z15" i="15"/>
  <c r="Z44" i="15"/>
  <c r="Z39" i="15"/>
  <c r="D24" i="17" s="1"/>
  <c r="Z7" i="15"/>
  <c r="Z43" i="15"/>
  <c r="D75" i="17" s="1"/>
  <c r="Z27" i="15"/>
  <c r="Z50" i="15"/>
  <c r="Z8" i="15"/>
  <c r="D5" i="17" s="1"/>
  <c r="Z25" i="15"/>
  <c r="Z26" i="15"/>
  <c r="D23" i="17" s="1"/>
  <c r="Z9" i="15"/>
  <c r="Z21" i="15"/>
  <c r="Z11" i="15"/>
  <c r="D33" i="17" s="1"/>
  <c r="Z48" i="15"/>
  <c r="Z54" i="15"/>
  <c r="Z10" i="15"/>
  <c r="Z58" i="15"/>
  <c r="D56" i="17" s="1"/>
  <c r="Z47" i="15"/>
  <c r="Z5" i="15"/>
  <c r="D20" i="17" s="1"/>
  <c r="Z29" i="15"/>
  <c r="Z35" i="15"/>
  <c r="Z22" i="15"/>
  <c r="Z53" i="15"/>
  <c r="Z36" i="15"/>
  <c r="D22" i="17" s="1"/>
  <c r="Z6" i="15"/>
  <c r="Z30" i="15"/>
  <c r="Z56" i="15"/>
  <c r="D35" i="17" s="1"/>
  <c r="Z95" i="15"/>
  <c r="Z34" i="15"/>
  <c r="Z3" i="15"/>
  <c r="D18" i="17" l="1"/>
  <c r="D8" i="17"/>
  <c r="D13" i="17"/>
  <c r="D11" i="17"/>
  <c r="D9" i="17"/>
  <c r="D6" i="17"/>
  <c r="D30" i="17"/>
  <c r="D19" i="17"/>
  <c r="D39" i="17"/>
  <c r="D25" i="17"/>
  <c r="D26" i="17"/>
  <c r="D46" i="17"/>
  <c r="D45" i="17"/>
  <c r="D7" i="17"/>
  <c r="D17" i="17"/>
  <c r="D12" i="17"/>
  <c r="D40" i="17"/>
  <c r="D41" i="17"/>
  <c r="D10" i="17"/>
  <c r="D42" i="17"/>
  <c r="D31" i="17"/>
  <c r="D32" i="17"/>
  <c r="D62" i="17"/>
  <c r="D63" i="17"/>
  <c r="D43" i="17"/>
  <c r="D44" i="17"/>
  <c r="D37" i="17"/>
  <c r="D38" i="17"/>
  <c r="D80" i="17"/>
  <c r="D81" i="17"/>
  <c r="D74" i="17"/>
  <c r="D55" i="17"/>
  <c r="D4" i="17"/>
  <c r="D49" i="17"/>
  <c r="D51" i="17"/>
  <c r="Z52" i="15"/>
  <c r="O32" i="17" s="1"/>
  <c r="B54" i="21" l="1"/>
  <c r="B52" i="21"/>
  <c r="B56" i="21"/>
  <c r="B55" i="21"/>
  <c r="B51" i="21"/>
  <c r="B50" i="21"/>
  <c r="B53" i="21"/>
  <c r="O80" i="17"/>
  <c r="S68" i="17"/>
  <c r="O72" i="17"/>
  <c r="I35" i="21"/>
  <c r="C40" i="21"/>
  <c r="K21" i="21"/>
  <c r="E26" i="21"/>
  <c r="N37" i="21"/>
  <c r="I34" i="21"/>
  <c r="P23" i="21"/>
  <c r="C35" i="21"/>
  <c r="K39" i="21"/>
  <c r="E21" i="21"/>
  <c r="M25" i="21"/>
  <c r="H37" i="21"/>
  <c r="P41" i="21"/>
  <c r="J23" i="21"/>
  <c r="E35" i="21"/>
  <c r="M39" i="21"/>
  <c r="G21" i="21"/>
  <c r="O25" i="21"/>
  <c r="P36" i="21"/>
  <c r="J41" i="21"/>
  <c r="D23" i="21"/>
  <c r="M19" i="21"/>
  <c r="G39" i="21"/>
  <c r="O20" i="21"/>
  <c r="I25" i="21"/>
  <c r="D37" i="21"/>
  <c r="L41" i="21"/>
  <c r="F23" i="21"/>
  <c r="O19" i="21"/>
  <c r="P16" i="17"/>
  <c r="O29" i="17"/>
  <c r="S41" i="17"/>
  <c r="R54" i="17"/>
  <c r="Q67" i="17"/>
  <c r="P80" i="17"/>
  <c r="O93" i="17"/>
  <c r="R33" i="17"/>
  <c r="R11" i="17"/>
  <c r="Q24" i="17"/>
  <c r="P37" i="17"/>
  <c r="O50" i="17"/>
  <c r="S62" i="17"/>
  <c r="R75" i="17"/>
  <c r="Q88" i="17"/>
  <c r="S20" i="17"/>
  <c r="P10" i="17"/>
  <c r="O23" i="17"/>
  <c r="S35" i="17"/>
  <c r="R48" i="17"/>
  <c r="Q61" i="17"/>
  <c r="P74" i="17"/>
  <c r="O87" i="17"/>
  <c r="S99" i="17"/>
  <c r="Q10" i="17"/>
  <c r="P23" i="17"/>
  <c r="O36" i="17"/>
  <c r="S48" i="17"/>
  <c r="R61" i="17"/>
  <c r="Q74" i="17"/>
  <c r="P87" i="17"/>
  <c r="N4" i="17"/>
  <c r="Q8" i="17"/>
  <c r="P20" i="17"/>
  <c r="O33" i="17"/>
  <c r="S45" i="17"/>
  <c r="R58" i="17"/>
  <c r="Q71" i="17"/>
  <c r="P84" i="17"/>
  <c r="S52" i="17"/>
  <c r="O14" i="17"/>
  <c r="S26" i="17"/>
  <c r="R39" i="17"/>
  <c r="Q52" i="17"/>
  <c r="P65" i="17"/>
  <c r="O78" i="17"/>
  <c r="S90" i="17"/>
  <c r="P11" i="17"/>
  <c r="P6" i="17"/>
  <c r="O19" i="17"/>
  <c r="S31" i="17"/>
  <c r="R44" i="17"/>
  <c r="Q57" i="17"/>
  <c r="P70" i="17"/>
  <c r="O83" i="17"/>
  <c r="S95" i="17"/>
  <c r="C36" i="21"/>
  <c r="K40" i="21"/>
  <c r="E22" i="21"/>
  <c r="M26" i="21"/>
  <c r="H38" i="21"/>
  <c r="C34" i="21"/>
  <c r="J24" i="21"/>
  <c r="K35" i="21"/>
  <c r="E40" i="21"/>
  <c r="M21" i="21"/>
  <c r="G26" i="21"/>
  <c r="P37" i="21"/>
  <c r="K34" i="21"/>
  <c r="D24" i="21"/>
  <c r="M35" i="21"/>
  <c r="G40" i="21"/>
  <c r="O21" i="21"/>
  <c r="I26" i="21"/>
  <c r="J37" i="21"/>
  <c r="E34" i="21"/>
  <c r="L23" i="21"/>
  <c r="G35" i="21"/>
  <c r="O39" i="21"/>
  <c r="I21" i="21"/>
  <c r="C26" i="21"/>
  <c r="L37" i="21"/>
  <c r="G34" i="21"/>
  <c r="N23" i="21"/>
  <c r="O5" i="17"/>
  <c r="S17" i="17"/>
  <c r="R30" i="17"/>
  <c r="Q43" i="17"/>
  <c r="P56" i="17"/>
  <c r="O69" i="17"/>
  <c r="S81" i="17"/>
  <c r="R94" i="17"/>
  <c r="R41" i="17"/>
  <c r="P12" i="17"/>
  <c r="O26" i="17"/>
  <c r="S38" i="17"/>
  <c r="R51" i="17"/>
  <c r="Q64" i="17"/>
  <c r="P77" i="17"/>
  <c r="O90" i="17"/>
  <c r="S28" i="17"/>
  <c r="S11" i="17"/>
  <c r="R24" i="17"/>
  <c r="Q37" i="17"/>
  <c r="P50" i="17"/>
  <c r="O63" i="17"/>
  <c r="S75" i="17"/>
  <c r="R88" i="17"/>
  <c r="Q95" i="17"/>
  <c r="O13" i="17"/>
  <c r="S24" i="17"/>
  <c r="R37" i="17"/>
  <c r="Q50" i="17"/>
  <c r="P63" i="17"/>
  <c r="O76" i="17"/>
  <c r="S88" i="17"/>
  <c r="Q22" i="17"/>
  <c r="O9" i="17"/>
  <c r="S21" i="17"/>
  <c r="R34" i="17"/>
  <c r="Q47" i="17"/>
  <c r="P60" i="17"/>
  <c r="O73" i="17"/>
  <c r="S85" i="17"/>
  <c r="O64" i="17"/>
  <c r="R15" i="17"/>
  <c r="Q28" i="17"/>
  <c r="P41" i="17"/>
  <c r="O54" i="17"/>
  <c r="S66" i="17"/>
  <c r="R79" i="17"/>
  <c r="Q92" i="17"/>
  <c r="O16" i="17"/>
  <c r="S8" i="17"/>
  <c r="R20" i="17"/>
  <c r="Q33" i="17"/>
  <c r="P46" i="17"/>
  <c r="O59" i="17"/>
  <c r="S71" i="17"/>
  <c r="R84" i="17"/>
  <c r="Q97" i="17"/>
  <c r="K36" i="21"/>
  <c r="E41" i="21"/>
  <c r="M22" i="21"/>
  <c r="H19" i="21"/>
  <c r="P38" i="21"/>
  <c r="J20" i="21"/>
  <c r="D25" i="21"/>
  <c r="E36" i="21"/>
  <c r="M40" i="21"/>
  <c r="G22" i="21"/>
  <c r="O26" i="21"/>
  <c r="J38" i="21"/>
  <c r="D20" i="21"/>
  <c r="L24" i="21"/>
  <c r="G36" i="21"/>
  <c r="O40" i="21"/>
  <c r="I22" i="21"/>
  <c r="D19" i="21"/>
  <c r="D38" i="21"/>
  <c r="M34" i="21"/>
  <c r="F24" i="21"/>
  <c r="O35" i="21"/>
  <c r="I40" i="21"/>
  <c r="C22" i="21"/>
  <c r="K26" i="21"/>
  <c r="F38" i="21"/>
  <c r="O34" i="21"/>
  <c r="H24" i="21"/>
  <c r="R6" i="17"/>
  <c r="Q19" i="17"/>
  <c r="P32" i="17"/>
  <c r="O45" i="17"/>
  <c r="S57" i="17"/>
  <c r="R70" i="17"/>
  <c r="Q83" i="17"/>
  <c r="P96" i="17"/>
  <c r="R49" i="17"/>
  <c r="S14" i="17"/>
  <c r="R27" i="17"/>
  <c r="Q40" i="17"/>
  <c r="P53" i="17"/>
  <c r="O66" i="17"/>
  <c r="S78" i="17"/>
  <c r="R91" i="17"/>
  <c r="S36" i="17"/>
  <c r="Q12" i="17"/>
  <c r="P26" i="17"/>
  <c r="O39" i="17"/>
  <c r="S51" i="17"/>
  <c r="R64" i="17"/>
  <c r="Q77" i="17"/>
  <c r="P90" i="17"/>
  <c r="R98" i="17"/>
  <c r="R12" i="17"/>
  <c r="Q26" i="17"/>
  <c r="P39" i="17"/>
  <c r="O52" i="17"/>
  <c r="S64" i="17"/>
  <c r="R77" i="17"/>
  <c r="Q90" i="17"/>
  <c r="P35" i="17"/>
  <c r="R10" i="17"/>
  <c r="Q23" i="17"/>
  <c r="P36" i="17"/>
  <c r="O49" i="17"/>
  <c r="S61" i="17"/>
  <c r="R74" i="17"/>
  <c r="Q87" i="17"/>
  <c r="Q4" i="17"/>
  <c r="P17" i="17"/>
  <c r="O30" i="17"/>
  <c r="S42" i="17"/>
  <c r="R55" i="17"/>
  <c r="Q68" i="17"/>
  <c r="P81" i="17"/>
  <c r="O94" i="17"/>
  <c r="O24" i="17"/>
  <c r="Q9" i="17"/>
  <c r="P22" i="17"/>
  <c r="O35" i="17"/>
  <c r="S47" i="17"/>
  <c r="R60" i="17"/>
  <c r="Q73" i="17"/>
  <c r="E37" i="21"/>
  <c r="M41" i="21"/>
  <c r="G23" i="21"/>
  <c r="P19" i="21"/>
  <c r="J39" i="21"/>
  <c r="D21" i="21"/>
  <c r="L25" i="21"/>
  <c r="M36" i="21"/>
  <c r="G41" i="21"/>
  <c r="O22" i="21"/>
  <c r="J19" i="21"/>
  <c r="D39" i="21"/>
  <c r="L20" i="21"/>
  <c r="F25" i="21"/>
  <c r="O36" i="21"/>
  <c r="I41" i="21"/>
  <c r="C23" i="21"/>
  <c r="L19" i="21"/>
  <c r="L38" i="21"/>
  <c r="F20" i="21"/>
  <c r="N24" i="21"/>
  <c r="I36" i="21"/>
  <c r="C41" i="21"/>
  <c r="K22" i="21"/>
  <c r="F19" i="21"/>
  <c r="N38" i="21"/>
  <c r="H20" i="21"/>
  <c r="P24" i="21"/>
  <c r="P7" i="17"/>
  <c r="O21" i="17"/>
  <c r="S33" i="17"/>
  <c r="R46" i="17"/>
  <c r="Q59" i="17"/>
  <c r="P72" i="17"/>
  <c r="O85" i="17"/>
  <c r="S97" i="17"/>
  <c r="S60" i="17"/>
  <c r="Q16" i="17"/>
  <c r="P29" i="17"/>
  <c r="O42" i="17"/>
  <c r="S54" i="17"/>
  <c r="R67" i="17"/>
  <c r="Q80" i="17"/>
  <c r="P93" i="17"/>
  <c r="Q46" i="17"/>
  <c r="O15" i="17"/>
  <c r="S27" i="17"/>
  <c r="R40" i="17"/>
  <c r="Q53" i="17"/>
  <c r="P66" i="17"/>
  <c r="O79" i="17"/>
  <c r="S91" i="17"/>
  <c r="Q54" i="17"/>
  <c r="P15" i="17"/>
  <c r="O28" i="17"/>
  <c r="S40" i="17"/>
  <c r="R53" i="17"/>
  <c r="Q66" i="17"/>
  <c r="P79" i="17"/>
  <c r="O92" i="17"/>
  <c r="P43" i="17"/>
  <c r="P13" i="17"/>
  <c r="O25" i="17"/>
  <c r="S37" i="17"/>
  <c r="R50" i="17"/>
  <c r="Q63" i="17"/>
  <c r="P76" i="17"/>
  <c r="O89" i="17"/>
  <c r="O6" i="17"/>
  <c r="S18" i="17"/>
  <c r="R31" i="17"/>
  <c r="Q44" i="17"/>
  <c r="P57" i="17"/>
  <c r="O70" i="17"/>
  <c r="S82" i="17"/>
  <c r="R95" i="17"/>
  <c r="Q30" i="17"/>
  <c r="O11" i="17"/>
  <c r="S23" i="17"/>
  <c r="R36" i="17"/>
  <c r="Q49" i="17"/>
  <c r="P62" i="17"/>
  <c r="M37" i="21"/>
  <c r="H34" i="21"/>
  <c r="O23" i="21"/>
  <c r="J35" i="21"/>
  <c r="D40" i="21"/>
  <c r="L21" i="21"/>
  <c r="F26" i="21"/>
  <c r="G37" i="21"/>
  <c r="O41" i="21"/>
  <c r="I23" i="21"/>
  <c r="D35" i="21"/>
  <c r="L39" i="21"/>
  <c r="F21" i="21"/>
  <c r="N25" i="21"/>
  <c r="I37" i="21"/>
  <c r="D34" i="21"/>
  <c r="K23" i="21"/>
  <c r="F4" i="17"/>
  <c r="F39" i="21"/>
  <c r="N20" i="21"/>
  <c r="H25" i="21"/>
  <c r="C37" i="21"/>
  <c r="K41" i="21"/>
  <c r="E23" i="21"/>
  <c r="N19" i="21"/>
  <c r="H39" i="21"/>
  <c r="P20" i="21"/>
  <c r="J25" i="21"/>
  <c r="S9" i="17"/>
  <c r="R22" i="17"/>
  <c r="Q35" i="17"/>
  <c r="P48" i="17"/>
  <c r="O61" i="17"/>
  <c r="S73" i="17"/>
  <c r="R86" i="17"/>
  <c r="Q99" i="17"/>
  <c r="P5" i="17"/>
  <c r="O18" i="17"/>
  <c r="S30" i="17"/>
  <c r="R43" i="17"/>
  <c r="Q56" i="17"/>
  <c r="P69" i="17"/>
  <c r="O82" i="17"/>
  <c r="S94" i="17"/>
  <c r="P59" i="17"/>
  <c r="R16" i="17"/>
  <c r="Q29" i="17"/>
  <c r="P42" i="17"/>
  <c r="O55" i="17"/>
  <c r="S67" i="17"/>
  <c r="R80" i="17"/>
  <c r="Q93" i="17"/>
  <c r="O4" i="17"/>
  <c r="S16" i="17"/>
  <c r="R29" i="17"/>
  <c r="Q42" i="17"/>
  <c r="P55" i="17"/>
  <c r="O68" i="17"/>
  <c r="S80" i="17"/>
  <c r="R93" i="17"/>
  <c r="P51" i="17"/>
  <c r="S12" i="17"/>
  <c r="R26" i="17"/>
  <c r="Q39" i="17"/>
  <c r="P52" i="17"/>
  <c r="O65" i="17"/>
  <c r="S77" i="17"/>
  <c r="R90" i="17"/>
  <c r="R8" i="17"/>
  <c r="Q20" i="17"/>
  <c r="P33" i="17"/>
  <c r="O46" i="17"/>
  <c r="S58" i="17"/>
  <c r="R71" i="17"/>
  <c r="Q84" i="17"/>
  <c r="P97" i="17"/>
  <c r="O40" i="17"/>
  <c r="R13" i="17"/>
  <c r="Q25" i="17"/>
  <c r="P38" i="17"/>
  <c r="O51" i="17"/>
  <c r="S63" i="17"/>
  <c r="R76" i="17"/>
  <c r="Q89" i="17"/>
  <c r="G38" i="21"/>
  <c r="P34" i="21"/>
  <c r="I24" i="21"/>
  <c r="D36" i="21"/>
  <c r="L40" i="21"/>
  <c r="F22" i="21"/>
  <c r="N26" i="21"/>
  <c r="O37" i="21"/>
  <c r="J34" i="21"/>
  <c r="C24" i="21"/>
  <c r="L35" i="21"/>
  <c r="F40" i="21"/>
  <c r="N21" i="21"/>
  <c r="H26" i="21"/>
  <c r="C38" i="21"/>
  <c r="L34" i="21"/>
  <c r="E24" i="21"/>
  <c r="F35" i="21"/>
  <c r="N39" i="21"/>
  <c r="H21" i="21"/>
  <c r="P25" i="21"/>
  <c r="K37" i="21"/>
  <c r="F34" i="21"/>
  <c r="M23" i="21"/>
  <c r="H35" i="21"/>
  <c r="P39" i="21"/>
  <c r="J21" i="21"/>
  <c r="D26" i="21"/>
  <c r="Q11" i="17"/>
  <c r="P24" i="17"/>
  <c r="O37" i="17"/>
  <c r="S49" i="17"/>
  <c r="R62" i="17"/>
  <c r="Q75" i="17"/>
  <c r="P88" i="17"/>
  <c r="S13" i="17"/>
  <c r="S6" i="17"/>
  <c r="R19" i="17"/>
  <c r="Q32" i="17"/>
  <c r="P45" i="17"/>
  <c r="O58" i="17"/>
  <c r="S70" i="17"/>
  <c r="R83" i="17"/>
  <c r="Q96" i="17"/>
  <c r="Q5" i="17"/>
  <c r="P18" i="17"/>
  <c r="O31" i="17"/>
  <c r="S43" i="17"/>
  <c r="R56" i="17"/>
  <c r="Q69" i="17"/>
  <c r="P82" i="17"/>
  <c r="O95" i="17"/>
  <c r="R5" i="17"/>
  <c r="Q18" i="17"/>
  <c r="P31" i="17"/>
  <c r="O44" i="17"/>
  <c r="S56" i="17"/>
  <c r="R69" i="17"/>
  <c r="Q82" i="17"/>
  <c r="P95" i="17"/>
  <c r="Q62" i="17"/>
  <c r="Q15" i="17"/>
  <c r="P28" i="17"/>
  <c r="O41" i="17"/>
  <c r="S53" i="17"/>
  <c r="R66" i="17"/>
  <c r="Q79" i="17"/>
  <c r="P92" i="17"/>
  <c r="P9" i="17"/>
  <c r="O22" i="17"/>
  <c r="S34" i="17"/>
  <c r="R47" i="17"/>
  <c r="Q60" i="17"/>
  <c r="P73" i="17"/>
  <c r="O86" i="17"/>
  <c r="S98" i="17"/>
  <c r="O48" i="17"/>
  <c r="P14" i="17"/>
  <c r="O27" i="17"/>
  <c r="S39" i="17"/>
  <c r="R52" i="17"/>
  <c r="Q65" i="17"/>
  <c r="P78" i="17"/>
  <c r="O91" i="17"/>
  <c r="Q14" i="17"/>
  <c r="O38" i="21"/>
  <c r="I20" i="21"/>
  <c r="C25" i="21"/>
  <c r="L36" i="21"/>
  <c r="F41" i="21"/>
  <c r="N22" i="21"/>
  <c r="I19" i="21"/>
  <c r="I38" i="21"/>
  <c r="C20" i="21"/>
  <c r="K24" i="21"/>
  <c r="F36" i="21"/>
  <c r="N40" i="21"/>
  <c r="H22" i="21"/>
  <c r="P26" i="21"/>
  <c r="K38" i="21"/>
  <c r="E20" i="21"/>
  <c r="M24" i="21"/>
  <c r="N35" i="21"/>
  <c r="H40" i="21"/>
  <c r="P21" i="21"/>
  <c r="J26" i="21"/>
  <c r="E38" i="21"/>
  <c r="N34" i="21"/>
  <c r="G24" i="21"/>
  <c r="P35" i="21"/>
  <c r="J40" i="21"/>
  <c r="D22" i="21"/>
  <c r="L26" i="21"/>
  <c r="O12" i="17"/>
  <c r="S25" i="17"/>
  <c r="R38" i="17"/>
  <c r="Q51" i="17"/>
  <c r="P64" i="17"/>
  <c r="O77" i="17"/>
  <c r="S89" i="17"/>
  <c r="P19" i="17"/>
  <c r="Q7" i="17"/>
  <c r="P21" i="17"/>
  <c r="O34" i="17"/>
  <c r="S46" i="17"/>
  <c r="R59" i="17"/>
  <c r="Q72" i="17"/>
  <c r="P85" i="17"/>
  <c r="O98" i="17"/>
  <c r="O8" i="17"/>
  <c r="S19" i="17"/>
  <c r="R32" i="17"/>
  <c r="Q45" i="17"/>
  <c r="P58" i="17"/>
  <c r="O71" i="17"/>
  <c r="S83" i="17"/>
  <c r="R96" i="17"/>
  <c r="P8" i="17"/>
  <c r="O20" i="17"/>
  <c r="S32" i="17"/>
  <c r="R45" i="17"/>
  <c r="Q58" i="17"/>
  <c r="P71" i="17"/>
  <c r="O84" i="17"/>
  <c r="S96" i="17"/>
  <c r="P4" i="17"/>
  <c r="O17" i="17"/>
  <c r="S29" i="17"/>
  <c r="R42" i="17"/>
  <c r="Q55" i="17"/>
  <c r="P68" i="17"/>
  <c r="O81" i="17"/>
  <c r="S93" i="17"/>
  <c r="S10" i="17"/>
  <c r="R23" i="17"/>
  <c r="Q36" i="17"/>
  <c r="P49" i="17"/>
  <c r="O62" i="17"/>
  <c r="S74" i="17"/>
  <c r="R87" i="17"/>
  <c r="Q6" i="17"/>
  <c r="R57" i="17"/>
  <c r="S15" i="17"/>
  <c r="R28" i="17"/>
  <c r="Q41" i="17"/>
  <c r="P54" i="17"/>
  <c r="O67" i="17"/>
  <c r="S79" i="17"/>
  <c r="R92" i="17"/>
  <c r="R17" i="17"/>
  <c r="I39" i="21"/>
  <c r="C21" i="21"/>
  <c r="K25" i="21"/>
  <c r="F37" i="21"/>
  <c r="N41" i="21"/>
  <c r="H23" i="21"/>
  <c r="C19" i="21"/>
  <c r="C39" i="21"/>
  <c r="K20" i="21"/>
  <c r="E25" i="21"/>
  <c r="N36" i="21"/>
  <c r="H41" i="21"/>
  <c r="P22" i="21"/>
  <c r="K19" i="21"/>
  <c r="E39" i="21"/>
  <c r="M20" i="21"/>
  <c r="G25" i="21"/>
  <c r="H36" i="21"/>
  <c r="P40" i="21"/>
  <c r="J22" i="21"/>
  <c r="E19" i="21"/>
  <c r="M38" i="21"/>
  <c r="G20" i="21"/>
  <c r="O24" i="21"/>
  <c r="J36" i="21"/>
  <c r="D41" i="21"/>
  <c r="L22" i="21"/>
  <c r="G19" i="21"/>
  <c r="R14" i="17"/>
  <c r="Q27" i="17"/>
  <c r="P40" i="17"/>
  <c r="O53" i="17"/>
  <c r="S65" i="17"/>
  <c r="P11" i="21" s="1"/>
  <c r="R78" i="17"/>
  <c r="Q91" i="17"/>
  <c r="P27" i="17"/>
  <c r="O10" i="17"/>
  <c r="S22" i="17"/>
  <c r="R35" i="17"/>
  <c r="Q48" i="17"/>
  <c r="P61" i="17"/>
  <c r="O74" i="17"/>
  <c r="S86" i="17"/>
  <c r="R99" i="17"/>
  <c r="R7" i="17"/>
  <c r="Q21" i="17"/>
  <c r="P34" i="17"/>
  <c r="O47" i="17"/>
  <c r="S59" i="17"/>
  <c r="R72" i="17"/>
  <c r="Q85" i="17"/>
  <c r="P98" i="17"/>
  <c r="S7" i="17"/>
  <c r="R21" i="17"/>
  <c r="Q34" i="17"/>
  <c r="P47" i="17"/>
  <c r="O60" i="17"/>
  <c r="S72" i="17"/>
  <c r="R85" i="17"/>
  <c r="Q98" i="17"/>
  <c r="S5" i="17"/>
  <c r="R18" i="17"/>
  <c r="Q31" i="17"/>
  <c r="P44" i="17"/>
  <c r="O57" i="17"/>
  <c r="S69" i="17"/>
  <c r="R82" i="17"/>
  <c r="O97" i="17"/>
  <c r="Q13" i="17"/>
  <c r="P25" i="17"/>
  <c r="O38" i="17"/>
  <c r="S50" i="17"/>
  <c r="R63" i="17"/>
  <c r="Q76" i="17"/>
  <c r="P89" i="17"/>
  <c r="R9" i="17"/>
  <c r="R4" i="17"/>
  <c r="Q17" i="17"/>
  <c r="P30" i="17"/>
  <c r="O43" i="17"/>
  <c r="S55" i="17"/>
  <c r="R68" i="17"/>
  <c r="Q81" i="17"/>
  <c r="P94" i="17"/>
  <c r="R97" i="17"/>
  <c r="R65" i="17"/>
  <c r="R89" i="17"/>
  <c r="O96" i="17"/>
  <c r="O7" i="17"/>
  <c r="R25" i="17"/>
  <c r="D15" i="17"/>
  <c r="R81" i="17"/>
  <c r="O88" i="17"/>
  <c r="P83" i="17"/>
  <c r="S4" i="17"/>
  <c r="P91" i="17"/>
  <c r="P99" i="17"/>
  <c r="Q70" i="17"/>
  <c r="O99" i="17"/>
  <c r="Q78" i="17"/>
  <c r="S76" i="17"/>
  <c r="Q86" i="17"/>
  <c r="O56" i="17"/>
  <c r="S87" i="17"/>
  <c r="P67" i="17"/>
  <c r="P75" i="17"/>
  <c r="R73" i="17"/>
  <c r="S44" i="17"/>
  <c r="P86" i="17"/>
  <c r="S92" i="17"/>
  <c r="Q94" i="17"/>
  <c r="S84" i="17"/>
  <c r="Q38" i="17"/>
  <c r="O75" i="17"/>
  <c r="Z104" i="15"/>
  <c r="L5" i="17"/>
  <c r="K6" i="17"/>
  <c r="J7" i="17"/>
  <c r="I8" i="17"/>
  <c r="H10" i="17"/>
  <c r="G11" i="17"/>
  <c r="F9" i="17"/>
  <c r="N9" i="17"/>
  <c r="M12" i="17"/>
  <c r="L13" i="17"/>
  <c r="K15" i="17"/>
  <c r="J14" i="17"/>
  <c r="I19" i="17"/>
  <c r="H16" i="17"/>
  <c r="G17" i="17"/>
  <c r="F18" i="17"/>
  <c r="N18" i="17"/>
  <c r="M20" i="17"/>
  <c r="L21" i="17"/>
  <c r="K22" i="17"/>
  <c r="J23" i="17"/>
  <c r="I24" i="17"/>
  <c r="H25" i="17"/>
  <c r="G26" i="17"/>
  <c r="F27" i="17"/>
  <c r="N27" i="17"/>
  <c r="M33" i="17"/>
  <c r="L28" i="17"/>
  <c r="K29" i="17"/>
  <c r="J30" i="17"/>
  <c r="I31" i="17"/>
  <c r="H32" i="17"/>
  <c r="G34" i="17"/>
  <c r="F35" i="17"/>
  <c r="N35" i="17"/>
  <c r="M36" i="17"/>
  <c r="L37" i="17"/>
  <c r="K38" i="17"/>
  <c r="J47" i="17"/>
  <c r="I39" i="17"/>
  <c r="H40" i="17"/>
  <c r="G41" i="17"/>
  <c r="F42" i="17"/>
  <c r="N42" i="17"/>
  <c r="M43" i="17"/>
  <c r="L44" i="17"/>
  <c r="K48" i="17"/>
  <c r="J45" i="17"/>
  <c r="I46" i="17"/>
  <c r="H49" i="17"/>
  <c r="G50" i="17"/>
  <c r="F51" i="17"/>
  <c r="N51" i="17"/>
  <c r="M52" i="17"/>
  <c r="L53" i="17"/>
  <c r="K54" i="17"/>
  <c r="J55" i="17"/>
  <c r="I56" i="17"/>
  <c r="H57" i="17"/>
  <c r="G58" i="17"/>
  <c r="F59" i="17"/>
  <c r="N59" i="17"/>
  <c r="M60" i="17"/>
  <c r="L61" i="17"/>
  <c r="K62" i="17"/>
  <c r="J63" i="17"/>
  <c r="I64" i="17"/>
  <c r="H65" i="17"/>
  <c r="G66" i="17"/>
  <c r="F67" i="17"/>
  <c r="N67" i="17"/>
  <c r="M68" i="17"/>
  <c r="L69" i="17"/>
  <c r="K70" i="17"/>
  <c r="J71" i="17"/>
  <c r="I72" i="17"/>
  <c r="H73" i="17"/>
  <c r="G74" i="17"/>
  <c r="F75" i="17"/>
  <c r="N75" i="17"/>
  <c r="M76" i="17"/>
  <c r="L77" i="17"/>
  <c r="K78" i="17"/>
  <c r="J79" i="17"/>
  <c r="M5" i="17"/>
  <c r="L6" i="17"/>
  <c r="K7" i="17"/>
  <c r="J8" i="17"/>
  <c r="I10" i="17"/>
  <c r="H11" i="17"/>
  <c r="G9" i="17"/>
  <c r="F12" i="17"/>
  <c r="N12" i="17"/>
  <c r="M13" i="17"/>
  <c r="L15" i="17"/>
  <c r="K14" i="17"/>
  <c r="J19" i="17"/>
  <c r="I16" i="17"/>
  <c r="H17" i="17"/>
  <c r="G18" i="17"/>
  <c r="F20" i="17"/>
  <c r="N20" i="17"/>
  <c r="M21" i="17"/>
  <c r="L22" i="17"/>
  <c r="K23" i="17"/>
  <c r="J24" i="17"/>
  <c r="I25" i="17"/>
  <c r="H26" i="17"/>
  <c r="G27" i="17"/>
  <c r="F33" i="17"/>
  <c r="N33" i="17"/>
  <c r="M28" i="17"/>
  <c r="L29" i="17"/>
  <c r="K30" i="17"/>
  <c r="J31" i="17"/>
  <c r="I32" i="17"/>
  <c r="H34" i="17"/>
  <c r="G35" i="17"/>
  <c r="F36" i="17"/>
  <c r="N36" i="17"/>
  <c r="M37" i="17"/>
  <c r="L38" i="17"/>
  <c r="K47" i="17"/>
  <c r="J39" i="17"/>
  <c r="I40" i="17"/>
  <c r="H41" i="17"/>
  <c r="G42" i="17"/>
  <c r="F43" i="17"/>
  <c r="N43" i="17"/>
  <c r="M44" i="17"/>
  <c r="L48" i="17"/>
  <c r="K45" i="17"/>
  <c r="J46" i="17"/>
  <c r="I49" i="17"/>
  <c r="H50" i="17"/>
  <c r="G51" i="17"/>
  <c r="F52" i="17"/>
  <c r="N52" i="17"/>
  <c r="M53" i="17"/>
  <c r="L54" i="17"/>
  <c r="K55" i="17"/>
  <c r="J56" i="17"/>
  <c r="I57" i="17"/>
  <c r="H58" i="17"/>
  <c r="G59" i="17"/>
  <c r="F60" i="17"/>
  <c r="N60" i="17"/>
  <c r="M61" i="17"/>
  <c r="L62" i="17"/>
  <c r="K63" i="17"/>
  <c r="J64" i="17"/>
  <c r="I65" i="17"/>
  <c r="H66" i="17"/>
  <c r="G67" i="17"/>
  <c r="F68" i="17"/>
  <c r="N68" i="17"/>
  <c r="M69" i="17"/>
  <c r="L70" i="17"/>
  <c r="K71" i="17"/>
  <c r="J72" i="17"/>
  <c r="I73" i="17"/>
  <c r="H74" i="17"/>
  <c r="G75" i="17"/>
  <c r="F76" i="17"/>
  <c r="N76" i="17"/>
  <c r="M77" i="17"/>
  <c r="L78" i="17"/>
  <c r="K79" i="17"/>
  <c r="F5" i="17"/>
  <c r="N5" i="17"/>
  <c r="M6" i="17"/>
  <c r="L7" i="17"/>
  <c r="K8" i="17"/>
  <c r="J10" i="17"/>
  <c r="I11" i="17"/>
  <c r="H9" i="17"/>
  <c r="G12" i="17"/>
  <c r="F13" i="17"/>
  <c r="N13" i="17"/>
  <c r="M15" i="17"/>
  <c r="L14" i="17"/>
  <c r="K19" i="17"/>
  <c r="J16" i="17"/>
  <c r="I17" i="17"/>
  <c r="H18" i="17"/>
  <c r="G20" i="17"/>
  <c r="F21" i="17"/>
  <c r="N21" i="17"/>
  <c r="M22" i="17"/>
  <c r="L23" i="17"/>
  <c r="K24" i="17"/>
  <c r="J25" i="17"/>
  <c r="I26" i="17"/>
  <c r="H27" i="17"/>
  <c r="G33" i="17"/>
  <c r="F28" i="17"/>
  <c r="N28" i="17"/>
  <c r="M29" i="17"/>
  <c r="L30" i="17"/>
  <c r="K31" i="17"/>
  <c r="J32" i="17"/>
  <c r="I34" i="17"/>
  <c r="H35" i="17"/>
  <c r="G36" i="17"/>
  <c r="F37" i="17"/>
  <c r="N37" i="17"/>
  <c r="M38" i="17"/>
  <c r="L47" i="17"/>
  <c r="K39" i="17"/>
  <c r="J40" i="17"/>
  <c r="I41" i="17"/>
  <c r="H42" i="17"/>
  <c r="G43" i="17"/>
  <c r="F44" i="17"/>
  <c r="N44" i="17"/>
  <c r="M48" i="17"/>
  <c r="L45" i="17"/>
  <c r="K46" i="17"/>
  <c r="J49" i="17"/>
  <c r="I50" i="17"/>
  <c r="H51" i="17"/>
  <c r="G52" i="17"/>
  <c r="F53" i="17"/>
  <c r="N53" i="17"/>
  <c r="M54" i="17"/>
  <c r="L55" i="17"/>
  <c r="K56" i="17"/>
  <c r="J57" i="17"/>
  <c r="I58" i="17"/>
  <c r="H59" i="17"/>
  <c r="G60" i="17"/>
  <c r="F61" i="17"/>
  <c r="N61" i="17"/>
  <c r="M62" i="17"/>
  <c r="L63" i="17"/>
  <c r="K64" i="17"/>
  <c r="J65" i="17"/>
  <c r="I66" i="17"/>
  <c r="H67" i="17"/>
  <c r="G68" i="17"/>
  <c r="F69" i="17"/>
  <c r="N69" i="17"/>
  <c r="M70" i="17"/>
  <c r="L71" i="17"/>
  <c r="K72" i="17"/>
  <c r="J73" i="17"/>
  <c r="I74" i="17"/>
  <c r="H75" i="17"/>
  <c r="G76" i="17"/>
  <c r="F77" i="17"/>
  <c r="N77" i="17"/>
  <c r="M78" i="17"/>
  <c r="G5" i="17"/>
  <c r="F6" i="17"/>
  <c r="N6" i="17"/>
  <c r="M7" i="17"/>
  <c r="L8" i="17"/>
  <c r="K10" i="17"/>
  <c r="J11" i="17"/>
  <c r="I9" i="17"/>
  <c r="H12" i="17"/>
  <c r="G13" i="17"/>
  <c r="F15" i="17"/>
  <c r="N15" i="17"/>
  <c r="M14" i="17"/>
  <c r="L19" i="17"/>
  <c r="K16" i="17"/>
  <c r="J17" i="17"/>
  <c r="I18" i="17"/>
  <c r="H20" i="17"/>
  <c r="G21" i="17"/>
  <c r="F22" i="17"/>
  <c r="N22" i="17"/>
  <c r="M23" i="17"/>
  <c r="L24" i="17"/>
  <c r="K25" i="17"/>
  <c r="J26" i="17"/>
  <c r="I27" i="17"/>
  <c r="H33" i="17"/>
  <c r="G28" i="17"/>
  <c r="F29" i="17"/>
  <c r="N29" i="17"/>
  <c r="M30" i="17"/>
  <c r="L31" i="17"/>
  <c r="K32" i="17"/>
  <c r="J34" i="17"/>
  <c r="I35" i="17"/>
  <c r="H36" i="17"/>
  <c r="G37" i="17"/>
  <c r="F38" i="17"/>
  <c r="N38" i="17"/>
  <c r="M47" i="17"/>
  <c r="L39" i="17"/>
  <c r="K40" i="17"/>
  <c r="J41" i="17"/>
  <c r="I42" i="17"/>
  <c r="H43" i="17"/>
  <c r="G44" i="17"/>
  <c r="F48" i="17"/>
  <c r="N48" i="17"/>
  <c r="M45" i="17"/>
  <c r="L46" i="17"/>
  <c r="K49" i="17"/>
  <c r="J50" i="17"/>
  <c r="I51" i="17"/>
  <c r="H52" i="17"/>
  <c r="G53" i="17"/>
  <c r="F54" i="17"/>
  <c r="N54" i="17"/>
  <c r="M55" i="17"/>
  <c r="L56" i="17"/>
  <c r="K57" i="17"/>
  <c r="J58" i="17"/>
  <c r="I59" i="17"/>
  <c r="H60" i="17"/>
  <c r="G61" i="17"/>
  <c r="F62" i="17"/>
  <c r="N62" i="17"/>
  <c r="M63" i="17"/>
  <c r="L64" i="17"/>
  <c r="K65" i="17"/>
  <c r="J66" i="17"/>
  <c r="I67" i="17"/>
  <c r="H68" i="17"/>
  <c r="G69" i="17"/>
  <c r="F70" i="17"/>
  <c r="N70" i="17"/>
  <c r="M71" i="17"/>
  <c r="L72" i="17"/>
  <c r="K73" i="17"/>
  <c r="J74" i="17"/>
  <c r="I75" i="17"/>
  <c r="H76" i="17"/>
  <c r="G77" i="17"/>
  <c r="F78" i="17"/>
  <c r="N78" i="17"/>
  <c r="H5" i="17"/>
  <c r="G6" i="17"/>
  <c r="F7" i="17"/>
  <c r="N7" i="17"/>
  <c r="M8" i="17"/>
  <c r="L10" i="17"/>
  <c r="K11" i="17"/>
  <c r="J9" i="17"/>
  <c r="I12" i="17"/>
  <c r="H13" i="17"/>
  <c r="G15" i="17"/>
  <c r="F14" i="17"/>
  <c r="N14" i="17"/>
  <c r="M19" i="17"/>
  <c r="L16" i="17"/>
  <c r="K17" i="17"/>
  <c r="J18" i="17"/>
  <c r="I20" i="17"/>
  <c r="H21" i="17"/>
  <c r="G22" i="17"/>
  <c r="F23" i="17"/>
  <c r="N23" i="17"/>
  <c r="M24" i="17"/>
  <c r="L25" i="17"/>
  <c r="K26" i="17"/>
  <c r="J27" i="17"/>
  <c r="I33" i="17"/>
  <c r="H28" i="17"/>
  <c r="G29" i="17"/>
  <c r="F30" i="17"/>
  <c r="N30" i="17"/>
  <c r="M31" i="17"/>
  <c r="L32" i="17"/>
  <c r="K34" i="17"/>
  <c r="J35" i="17"/>
  <c r="I36" i="17"/>
  <c r="H37" i="17"/>
  <c r="G38" i="17"/>
  <c r="F47" i="17"/>
  <c r="N47" i="17"/>
  <c r="M39" i="17"/>
  <c r="L40" i="17"/>
  <c r="K41" i="17"/>
  <c r="J42" i="17"/>
  <c r="I43" i="17"/>
  <c r="H44" i="17"/>
  <c r="G48" i="17"/>
  <c r="F45" i="17"/>
  <c r="N45" i="17"/>
  <c r="M46" i="17"/>
  <c r="L49" i="17"/>
  <c r="K50" i="17"/>
  <c r="J51" i="17"/>
  <c r="I52" i="17"/>
  <c r="H53" i="17"/>
  <c r="G54" i="17"/>
  <c r="F55" i="17"/>
  <c r="N55" i="17"/>
  <c r="M56" i="17"/>
  <c r="L57" i="17"/>
  <c r="K58" i="17"/>
  <c r="J59" i="17"/>
  <c r="I60" i="17"/>
  <c r="H61" i="17"/>
  <c r="G62" i="17"/>
  <c r="F63" i="17"/>
  <c r="N63" i="17"/>
  <c r="M64" i="17"/>
  <c r="L65" i="17"/>
  <c r="K66" i="17"/>
  <c r="J67" i="17"/>
  <c r="I68" i="17"/>
  <c r="H69" i="17"/>
  <c r="G70" i="17"/>
  <c r="F71" i="17"/>
  <c r="N71" i="17"/>
  <c r="M72" i="17"/>
  <c r="L73" i="17"/>
  <c r="K74" i="17"/>
  <c r="J75" i="17"/>
  <c r="I76" i="17"/>
  <c r="H77" i="17"/>
  <c r="G78" i="17"/>
  <c r="F79" i="17"/>
  <c r="I5" i="17"/>
  <c r="H6" i="17"/>
  <c r="G7" i="17"/>
  <c r="F8" i="17"/>
  <c r="N8" i="17"/>
  <c r="M10" i="17"/>
  <c r="L11" i="17"/>
  <c r="K9" i="17"/>
  <c r="J12" i="17"/>
  <c r="I13" i="17"/>
  <c r="H15" i="17"/>
  <c r="G14" i="17"/>
  <c r="F19" i="17"/>
  <c r="N19" i="17"/>
  <c r="M16" i="17"/>
  <c r="L17" i="17"/>
  <c r="K18" i="17"/>
  <c r="J20" i="17"/>
  <c r="I21" i="17"/>
  <c r="H22" i="17"/>
  <c r="G23" i="17"/>
  <c r="F24" i="17"/>
  <c r="N24" i="17"/>
  <c r="M25" i="17"/>
  <c r="L26" i="17"/>
  <c r="K27" i="17"/>
  <c r="J33" i="17"/>
  <c r="I28" i="17"/>
  <c r="H29" i="17"/>
  <c r="G30" i="17"/>
  <c r="F31" i="17"/>
  <c r="N31" i="17"/>
  <c r="M32" i="17"/>
  <c r="L34" i="17"/>
  <c r="K35" i="17"/>
  <c r="J36" i="17"/>
  <c r="I37" i="17"/>
  <c r="H38" i="17"/>
  <c r="G47" i="17"/>
  <c r="F39" i="17"/>
  <c r="N39" i="17"/>
  <c r="M40" i="17"/>
  <c r="L41" i="17"/>
  <c r="K42" i="17"/>
  <c r="J43" i="17"/>
  <c r="I44" i="17"/>
  <c r="H48" i="17"/>
  <c r="G45" i="17"/>
  <c r="F46" i="17"/>
  <c r="N46" i="17"/>
  <c r="M49" i="17"/>
  <c r="L50" i="17"/>
  <c r="K51" i="17"/>
  <c r="J52" i="17"/>
  <c r="I53" i="17"/>
  <c r="H54" i="17"/>
  <c r="G55" i="17"/>
  <c r="F56" i="17"/>
  <c r="N56" i="17"/>
  <c r="M57" i="17"/>
  <c r="L58" i="17"/>
  <c r="K59" i="17"/>
  <c r="J60" i="17"/>
  <c r="I61" i="17"/>
  <c r="H62" i="17"/>
  <c r="G63" i="17"/>
  <c r="F64" i="17"/>
  <c r="N64" i="17"/>
  <c r="M65" i="17"/>
  <c r="L66" i="17"/>
  <c r="K67" i="17"/>
  <c r="J68" i="17"/>
  <c r="I69" i="17"/>
  <c r="H70" i="17"/>
  <c r="G71" i="17"/>
  <c r="F72" i="17"/>
  <c r="N72" i="17"/>
  <c r="M73" i="17"/>
  <c r="L74" i="17"/>
  <c r="K75" i="17"/>
  <c r="J76" i="17"/>
  <c r="I77" i="17"/>
  <c r="H78" i="17"/>
  <c r="G79" i="17"/>
  <c r="Z106" i="15"/>
  <c r="J5" i="17"/>
  <c r="I6" i="17"/>
  <c r="H7" i="17"/>
  <c r="G8" i="17"/>
  <c r="F10" i="17"/>
  <c r="N10" i="17"/>
  <c r="M11" i="17"/>
  <c r="L9" i="17"/>
  <c r="K12" i="17"/>
  <c r="J13" i="17"/>
  <c r="I15" i="17"/>
  <c r="H14" i="17"/>
  <c r="G19" i="17"/>
  <c r="F16" i="17"/>
  <c r="N16" i="17"/>
  <c r="M17" i="17"/>
  <c r="L18" i="17"/>
  <c r="K20" i="17"/>
  <c r="J21" i="17"/>
  <c r="I22" i="17"/>
  <c r="H23" i="17"/>
  <c r="G24" i="17"/>
  <c r="F25" i="17"/>
  <c r="N25" i="17"/>
  <c r="M26" i="17"/>
  <c r="L27" i="17"/>
  <c r="K33" i="17"/>
  <c r="J28" i="17"/>
  <c r="I29" i="17"/>
  <c r="H30" i="17"/>
  <c r="G31" i="17"/>
  <c r="F32" i="17"/>
  <c r="N32" i="17"/>
  <c r="M34" i="17"/>
  <c r="L35" i="17"/>
  <c r="K36" i="17"/>
  <c r="J37" i="17"/>
  <c r="I38" i="17"/>
  <c r="H47" i="17"/>
  <c r="G39" i="17"/>
  <c r="F40" i="17"/>
  <c r="N40" i="17"/>
  <c r="M41" i="17"/>
  <c r="L42" i="17"/>
  <c r="K43" i="17"/>
  <c r="J44" i="17"/>
  <c r="I48" i="17"/>
  <c r="H45" i="17"/>
  <c r="G46" i="17"/>
  <c r="F49" i="17"/>
  <c r="N49" i="17"/>
  <c r="M50" i="17"/>
  <c r="L51" i="17"/>
  <c r="K52" i="17"/>
  <c r="J53" i="17"/>
  <c r="I54" i="17"/>
  <c r="H55" i="17"/>
  <c r="G56" i="17"/>
  <c r="F57" i="17"/>
  <c r="N57" i="17"/>
  <c r="M58" i="17"/>
  <c r="L59" i="17"/>
  <c r="K60" i="17"/>
  <c r="J61" i="17"/>
  <c r="I62" i="17"/>
  <c r="H63" i="17"/>
  <c r="G64" i="17"/>
  <c r="F65" i="17"/>
  <c r="N65" i="17"/>
  <c r="M66" i="17"/>
  <c r="L67" i="17"/>
  <c r="K68" i="17"/>
  <c r="J69" i="17"/>
  <c r="I70" i="17"/>
  <c r="H71" i="17"/>
  <c r="G72" i="17"/>
  <c r="F73" i="17"/>
  <c r="N73" i="17"/>
  <c r="M74" i="17"/>
  <c r="L75" i="17"/>
  <c r="K76" i="17"/>
  <c r="J77" i="17"/>
  <c r="I78" i="17"/>
  <c r="H79" i="17"/>
  <c r="Z105" i="15"/>
  <c r="K5" i="17"/>
  <c r="J6" i="17"/>
  <c r="I7" i="17"/>
  <c r="H8" i="17"/>
  <c r="G10" i="17"/>
  <c r="F11" i="17"/>
  <c r="N11" i="17"/>
  <c r="M9" i="17"/>
  <c r="L12" i="17"/>
  <c r="K13" i="17"/>
  <c r="J15" i="17"/>
  <c r="I14" i="17"/>
  <c r="H19" i="17"/>
  <c r="G16" i="17"/>
  <c r="F17" i="17"/>
  <c r="N17" i="17"/>
  <c r="M18" i="17"/>
  <c r="L20" i="17"/>
  <c r="K21" i="17"/>
  <c r="J22" i="17"/>
  <c r="I23" i="17"/>
  <c r="H24" i="17"/>
  <c r="G25" i="17"/>
  <c r="F26" i="17"/>
  <c r="N26" i="17"/>
  <c r="M27" i="17"/>
  <c r="L33" i="17"/>
  <c r="K28" i="17"/>
  <c r="J29" i="17"/>
  <c r="I30" i="17"/>
  <c r="H31" i="17"/>
  <c r="G32" i="17"/>
  <c r="F34" i="17"/>
  <c r="N34" i="17"/>
  <c r="M35" i="17"/>
  <c r="L36" i="17"/>
  <c r="K37" i="17"/>
  <c r="J38" i="17"/>
  <c r="I47" i="17"/>
  <c r="H39" i="17"/>
  <c r="G40" i="17"/>
  <c r="F41" i="17"/>
  <c r="N41" i="17"/>
  <c r="M42" i="17"/>
  <c r="L43" i="17"/>
  <c r="K44" i="17"/>
  <c r="J48" i="17"/>
  <c r="I45" i="17"/>
  <c r="H46" i="17"/>
  <c r="G49" i="17"/>
  <c r="F50" i="17"/>
  <c r="N50" i="17"/>
  <c r="M51" i="17"/>
  <c r="L52" i="17"/>
  <c r="K53" i="17"/>
  <c r="J54" i="17"/>
  <c r="I55" i="17"/>
  <c r="H56" i="17"/>
  <c r="G57" i="17"/>
  <c r="F58" i="17"/>
  <c r="N58" i="17"/>
  <c r="M59" i="17"/>
  <c r="L60" i="17"/>
  <c r="K61" i="17"/>
  <c r="J62" i="17"/>
  <c r="I63" i="17"/>
  <c r="H64" i="17"/>
  <c r="G65" i="17"/>
  <c r="F66" i="17"/>
  <c r="N66" i="17"/>
  <c r="M67" i="17"/>
  <c r="L68" i="17"/>
  <c r="K69" i="17"/>
  <c r="J70" i="17"/>
  <c r="I71" i="17"/>
  <c r="H72" i="17"/>
  <c r="G73" i="17"/>
  <c r="F74" i="17"/>
  <c r="N74" i="17"/>
  <c r="M75" i="17"/>
  <c r="L76" i="17"/>
  <c r="K77" i="17"/>
  <c r="J78" i="17"/>
  <c r="I79" i="17"/>
  <c r="F80" i="17"/>
  <c r="N80" i="17"/>
  <c r="M81" i="17"/>
  <c r="L82" i="17"/>
  <c r="K83" i="17"/>
  <c r="J84" i="17"/>
  <c r="I85" i="17"/>
  <c r="H86" i="17"/>
  <c r="G87" i="17"/>
  <c r="F88" i="17"/>
  <c r="N88" i="17"/>
  <c r="M89" i="17"/>
  <c r="L90" i="17"/>
  <c r="K91" i="17"/>
  <c r="J92" i="17"/>
  <c r="I93" i="17"/>
  <c r="H94" i="17"/>
  <c r="G95" i="17"/>
  <c r="F96" i="17"/>
  <c r="N96" i="17"/>
  <c r="M97" i="17"/>
  <c r="L98" i="17"/>
  <c r="K99" i="17"/>
  <c r="K4" i="17"/>
  <c r="K81" i="17"/>
  <c r="N86" i="17"/>
  <c r="G93" i="17"/>
  <c r="I99" i="17"/>
  <c r="G80" i="17"/>
  <c r="F81" i="17"/>
  <c r="N81" i="17"/>
  <c r="M82" i="17"/>
  <c r="L83" i="17"/>
  <c r="K84" i="17"/>
  <c r="J85" i="17"/>
  <c r="I86" i="17"/>
  <c r="H87" i="17"/>
  <c r="G88" i="17"/>
  <c r="F89" i="17"/>
  <c r="N89" i="17"/>
  <c r="M90" i="17"/>
  <c r="L91" i="17"/>
  <c r="K92" i="17"/>
  <c r="J93" i="17"/>
  <c r="I94" i="17"/>
  <c r="H95" i="17"/>
  <c r="G96" i="17"/>
  <c r="F97" i="17"/>
  <c r="N97" i="17"/>
  <c r="M98" i="17"/>
  <c r="L99" i="17"/>
  <c r="L4" i="17"/>
  <c r="M87" i="17"/>
  <c r="F94" i="17"/>
  <c r="I4" i="17"/>
  <c r="H80" i="17"/>
  <c r="G81" i="17"/>
  <c r="F82" i="17"/>
  <c r="N82" i="17"/>
  <c r="M83" i="17"/>
  <c r="L84" i="17"/>
  <c r="K85" i="17"/>
  <c r="J86" i="17"/>
  <c r="I87" i="17"/>
  <c r="H88" i="17"/>
  <c r="G89" i="17"/>
  <c r="F90" i="17"/>
  <c r="N90" i="17"/>
  <c r="M91" i="17"/>
  <c r="L92" i="17"/>
  <c r="K93" i="17"/>
  <c r="J94" i="17"/>
  <c r="I95" i="17"/>
  <c r="H96" i="17"/>
  <c r="G97" i="17"/>
  <c r="F98" i="17"/>
  <c r="N98" i="17"/>
  <c r="M99" i="17"/>
  <c r="M4" i="17"/>
  <c r="M79" i="17"/>
  <c r="G85" i="17"/>
  <c r="J90" i="17"/>
  <c r="L96" i="17"/>
  <c r="I80" i="17"/>
  <c r="H81" i="17"/>
  <c r="G82" i="17"/>
  <c r="F83" i="17"/>
  <c r="N83" i="17"/>
  <c r="M84" i="17"/>
  <c r="L85" i="17"/>
  <c r="K86" i="17"/>
  <c r="J87" i="17"/>
  <c r="I88" i="17"/>
  <c r="H89" i="17"/>
  <c r="G90" i="17"/>
  <c r="F91" i="17"/>
  <c r="N91" i="17"/>
  <c r="M92" i="17"/>
  <c r="L93" i="17"/>
  <c r="K94" i="17"/>
  <c r="J95" i="17"/>
  <c r="I96" i="17"/>
  <c r="H97" i="17"/>
  <c r="G98" i="17"/>
  <c r="F99" i="17"/>
  <c r="N99" i="17"/>
  <c r="H84" i="17"/>
  <c r="H92" i="17"/>
  <c r="J98" i="17"/>
  <c r="J80" i="17"/>
  <c r="I81" i="17"/>
  <c r="H82" i="17"/>
  <c r="G83" i="17"/>
  <c r="F84" i="17"/>
  <c r="N84" i="17"/>
  <c r="M85" i="17"/>
  <c r="L86" i="17"/>
  <c r="K87" i="17"/>
  <c r="J88" i="17"/>
  <c r="I89" i="17"/>
  <c r="H90" i="17"/>
  <c r="G91" i="17"/>
  <c r="F92" i="17"/>
  <c r="N92" i="17"/>
  <c r="M93" i="17"/>
  <c r="L94" i="17"/>
  <c r="K95" i="17"/>
  <c r="J96" i="17"/>
  <c r="I97" i="17"/>
  <c r="H98" i="17"/>
  <c r="G99" i="17"/>
  <c r="G4" i="17"/>
  <c r="J82" i="17"/>
  <c r="K89" i="17"/>
  <c r="N94" i="17"/>
  <c r="L79" i="17"/>
  <c r="K80" i="17"/>
  <c r="J81" i="17"/>
  <c r="I82" i="17"/>
  <c r="H83" i="17"/>
  <c r="G84" i="17"/>
  <c r="F85" i="17"/>
  <c r="N85" i="17"/>
  <c r="M86" i="17"/>
  <c r="L87" i="17"/>
  <c r="K88" i="17"/>
  <c r="J89" i="17"/>
  <c r="I90" i="17"/>
  <c r="H91" i="17"/>
  <c r="G92" i="17"/>
  <c r="F93" i="17"/>
  <c r="N93" i="17"/>
  <c r="M94" i="17"/>
  <c r="L95" i="17"/>
  <c r="K96" i="17"/>
  <c r="J97" i="17"/>
  <c r="I98" i="17"/>
  <c r="H99" i="17"/>
  <c r="H4" i="17"/>
  <c r="L80" i="17"/>
  <c r="F86" i="17"/>
  <c r="I91" i="17"/>
  <c r="K97" i="17"/>
  <c r="N79" i="17"/>
  <c r="M80" i="17"/>
  <c r="L81" i="17"/>
  <c r="K82" i="17"/>
  <c r="J83" i="17"/>
  <c r="I84" i="17"/>
  <c r="H85" i="17"/>
  <c r="G86" i="17"/>
  <c r="F87" i="17"/>
  <c r="N87" i="17"/>
  <c r="M88" i="17"/>
  <c r="L89" i="17"/>
  <c r="K90" i="17"/>
  <c r="J91" i="17"/>
  <c r="I92" i="17"/>
  <c r="H93" i="17"/>
  <c r="G94" i="17"/>
  <c r="F95" i="17"/>
  <c r="N95" i="17"/>
  <c r="M96" i="17"/>
  <c r="L97" i="17"/>
  <c r="K98" i="17"/>
  <c r="J99" i="17"/>
  <c r="J4" i="17"/>
  <c r="D14" i="17"/>
  <c r="I83" i="17"/>
  <c r="L88" i="17"/>
  <c r="M95" i="17"/>
  <c r="D102" i="17" l="1"/>
  <c r="M10" i="21"/>
  <c r="L11" i="21"/>
  <c r="D27" i="21"/>
  <c r="M9" i="21"/>
  <c r="L10" i="21"/>
  <c r="M27" i="21"/>
  <c r="P8" i="21"/>
  <c r="N9" i="21"/>
  <c r="O10" i="21"/>
  <c r="K42" i="21"/>
  <c r="M11" i="21"/>
  <c r="M57" i="21"/>
  <c r="L9" i="21"/>
  <c r="B57" i="21"/>
  <c r="H42" i="21"/>
  <c r="L57" i="21"/>
  <c r="E57" i="21"/>
  <c r="Y105" i="15"/>
  <c r="N10" i="21"/>
  <c r="O57" i="21"/>
  <c r="K57" i="21"/>
  <c r="F57" i="21"/>
  <c r="J57" i="21"/>
  <c r="G57" i="21"/>
  <c r="D57" i="21"/>
  <c r="I57" i="21"/>
  <c r="E42" i="21"/>
  <c r="N57" i="21"/>
  <c r="P57" i="21"/>
  <c r="C57" i="21"/>
  <c r="H57" i="21"/>
  <c r="D10" i="21"/>
  <c r="N6" i="21"/>
  <c r="J42" i="21"/>
  <c r="D42" i="21"/>
  <c r="P10" i="21"/>
  <c r="O6" i="21"/>
  <c r="Y106" i="15"/>
  <c r="N8" i="21"/>
  <c r="C10" i="21"/>
  <c r="G27" i="21"/>
  <c r="E27" i="21"/>
  <c r="N5" i="21"/>
  <c r="P5" i="21"/>
  <c r="P27" i="21"/>
  <c r="L42" i="21"/>
  <c r="L7" i="21"/>
  <c r="N11" i="21"/>
  <c r="M5" i="21"/>
  <c r="L5" i="21"/>
  <c r="P4" i="21"/>
  <c r="M4" i="21"/>
  <c r="M8" i="21"/>
  <c r="L8" i="21"/>
  <c r="N4" i="21"/>
  <c r="L6" i="21"/>
  <c r="J27" i="21"/>
  <c r="H27" i="21"/>
  <c r="O11" i="21"/>
  <c r="F42" i="21"/>
  <c r="P42" i="21"/>
  <c r="O9" i="21"/>
  <c r="P6" i="21"/>
  <c r="P9" i="21"/>
  <c r="O8" i="21"/>
  <c r="C42" i="21"/>
  <c r="N27" i="21"/>
  <c r="L27" i="21"/>
  <c r="O4" i="21"/>
  <c r="P7" i="21"/>
  <c r="O5" i="21"/>
  <c r="K27" i="21"/>
  <c r="I42" i="21"/>
  <c r="M42" i="21"/>
  <c r="O42" i="21"/>
  <c r="N7" i="21"/>
  <c r="M7" i="21"/>
  <c r="I27" i="21"/>
  <c r="M6" i="21"/>
  <c r="O7" i="21"/>
  <c r="O27" i="21"/>
  <c r="N42" i="21"/>
  <c r="H9" i="21"/>
  <c r="I10" i="21"/>
  <c r="E9" i="21"/>
  <c r="L4" i="21"/>
  <c r="F7" i="21"/>
  <c r="C27" i="21"/>
  <c r="G9" i="21"/>
  <c r="G7" i="21"/>
  <c r="G42" i="21"/>
  <c r="E7" i="21"/>
  <c r="F27" i="21"/>
  <c r="F10" i="21"/>
  <c r="G4" i="21"/>
  <c r="K4" i="21"/>
  <c r="C4" i="21"/>
  <c r="E4" i="21"/>
  <c r="C6" i="21"/>
  <c r="J7" i="21"/>
  <c r="E11" i="21"/>
  <c r="G10" i="21"/>
  <c r="F8" i="21"/>
  <c r="I6" i="21"/>
  <c r="D7" i="21"/>
  <c r="G6" i="21"/>
  <c r="K9" i="21"/>
  <c r="H7" i="21"/>
  <c r="H4" i="21"/>
  <c r="D11" i="21"/>
  <c r="E8" i="21"/>
  <c r="G5" i="21"/>
  <c r="C9" i="21"/>
  <c r="K5" i="21"/>
  <c r="E6" i="21"/>
  <c r="I9" i="21"/>
  <c r="J4" i="21"/>
  <c r="F4" i="21"/>
  <c r="J11" i="21"/>
  <c r="K8" i="21"/>
  <c r="E5" i="21"/>
  <c r="H11" i="21"/>
  <c r="J10" i="21"/>
  <c r="I8" i="21"/>
  <c r="C5" i="21"/>
  <c r="I5" i="21"/>
  <c r="J6" i="21"/>
  <c r="C8" i="21"/>
  <c r="K7" i="21"/>
  <c r="F11" i="21"/>
  <c r="H10" i="21"/>
  <c r="G8" i="21"/>
  <c r="H5" i="21"/>
  <c r="H6" i="21"/>
  <c r="C7" i="21"/>
  <c r="F6" i="21"/>
  <c r="I7" i="21"/>
  <c r="D4" i="21"/>
  <c r="I4" i="21"/>
  <c r="K11" i="21"/>
  <c r="F9" i="21"/>
  <c r="D9" i="21"/>
  <c r="J9" i="21"/>
  <c r="D6" i="21"/>
  <c r="K6" i="21"/>
  <c r="C11" i="21"/>
  <c r="D8" i="21"/>
  <c r="F5" i="21"/>
  <c r="I11" i="21"/>
  <c r="K10" i="21"/>
  <c r="J8" i="21"/>
  <c r="D5" i="21"/>
  <c r="G11" i="21"/>
  <c r="H8" i="21"/>
  <c r="J5" i="21"/>
  <c r="L12" i="21" l="1"/>
  <c r="M12" i="21"/>
  <c r="N12" i="21"/>
  <c r="O12" i="21"/>
  <c r="P12" i="21"/>
  <c r="C12" i="21"/>
  <c r="J12" i="21"/>
  <c r="H12" i="21"/>
  <c r="G12" i="21"/>
  <c r="E12" i="21"/>
  <c r="K12" i="21"/>
  <c r="D12" i="21"/>
  <c r="I12" i="21"/>
  <c r="F12" i="21"/>
</calcChain>
</file>

<file path=xl/sharedStrings.xml><?xml version="1.0" encoding="utf-8"?>
<sst xmlns="http://schemas.openxmlformats.org/spreadsheetml/2006/main" count="1041" uniqueCount="425">
  <si>
    <t>PAX</t>
  </si>
  <si>
    <t>Knop</t>
  </si>
  <si>
    <t>Fylke</t>
  </si>
  <si>
    <t>Fonna-Evindvik</t>
  </si>
  <si>
    <t>Bulandet-Sandøya</t>
  </si>
  <si>
    <t>Oslofergene (Byøyene)</t>
  </si>
  <si>
    <t>Oslo</t>
  </si>
  <si>
    <t>Langevåg-Ålesund</t>
  </si>
  <si>
    <t>Møre og Romsdal</t>
  </si>
  <si>
    <t>Espvær-Eidesvik</t>
  </si>
  <si>
    <t>Feøy-Kveitevik</t>
  </si>
  <si>
    <t>Rogaland</t>
  </si>
  <si>
    <t>Nesodden-Lysaker</t>
  </si>
  <si>
    <t>Værlandet-Alden</t>
  </si>
  <si>
    <t>Evenes-Kjeldebotn</t>
  </si>
  <si>
    <t>Nordland</t>
  </si>
  <si>
    <t>Kleppestø-Strandkaien</t>
  </si>
  <si>
    <t>Nesoddtangen-Aker Brygge</t>
  </si>
  <si>
    <t>Sandviksberget-Sætervik</t>
  </si>
  <si>
    <t>Trøndelag</t>
  </si>
  <si>
    <t>Sandviksberget-Skjervøy</t>
  </si>
  <si>
    <t>Hervik-Saltskår</t>
  </si>
  <si>
    <t>Hellesøy-Hernar</t>
  </si>
  <si>
    <t>Myre-Øksnes-Vestbygd</t>
  </si>
  <si>
    <t>Stavanger-Byøyene-Hommersåk</t>
  </si>
  <si>
    <t>Haugesund-Røvær</t>
  </si>
  <si>
    <t>Haugesund-Feøy</t>
  </si>
  <si>
    <t>Måløy-Silda</t>
  </si>
  <si>
    <t>Reinefjorden</t>
  </si>
  <si>
    <t>Nordfold</t>
  </si>
  <si>
    <t>Solfjellsjøen-Vandve</t>
  </si>
  <si>
    <t>Regionpendelen</t>
  </si>
  <si>
    <t>Havsøysund-Måsøy</t>
  </si>
  <si>
    <t>Beiarfjorden</t>
  </si>
  <si>
    <t>Træna lokal</t>
  </si>
  <si>
    <t>Trondheim-Vanvikan</t>
  </si>
  <si>
    <t>Vikane-Hisarøy-Evindvik-Dingja-Sollibotn</t>
  </si>
  <si>
    <t>Knarvik-Frekhaug-Bergen</t>
  </si>
  <si>
    <t>Flybåten Tønsberg-Husvik</t>
  </si>
  <si>
    <t>Tromsø-Lysnes-Tennskjer-Vikran</t>
  </si>
  <si>
    <t>Troms</t>
  </si>
  <si>
    <t>Hareid-Valderøya-Ålesund</t>
  </si>
  <si>
    <t>Florø-Ronaldsvågen-Kinn-Skorpa (vest)</t>
  </si>
  <si>
    <t>Gåsvær-Hardbakke</t>
  </si>
  <si>
    <t>Nordeide-Måren-Ortnevik</t>
  </si>
  <si>
    <t>Bindalseidet-Harangsfjord</t>
  </si>
  <si>
    <t>Florø-Fanøy Barekstad (Nord)</t>
  </si>
  <si>
    <t>Hadsel</t>
  </si>
  <si>
    <t>Stavanger-Kvitsøy</t>
  </si>
  <si>
    <t>Aker Brygge-Slemmestad</t>
  </si>
  <si>
    <t>Meløy</t>
  </si>
  <si>
    <t>Hardbakke-Nåra-Mjømna</t>
  </si>
  <si>
    <t>Stavanger-Fisterøyene (kombibåt)</t>
  </si>
  <si>
    <t>Florø-Svanøy-Askrova (Sør)</t>
  </si>
  <si>
    <t>Eivindvik-Mastrevik</t>
  </si>
  <si>
    <t>Skjervøy-Kvænangen og Vorterøy</t>
  </si>
  <si>
    <t>Aker Brygge - Drøbak</t>
  </si>
  <si>
    <t>Bodø-Væran</t>
  </si>
  <si>
    <t>Bodø-Ytre Gildeskål</t>
  </si>
  <si>
    <t>Hardbakke-Utvær</t>
  </si>
  <si>
    <t>Ortnevik-Vik</t>
  </si>
  <si>
    <t>Rødøy-Melfjordbotn</t>
  </si>
  <si>
    <t>Ålesund-Valderøya-Nordøyane</t>
  </si>
  <si>
    <t>Stavanger-Hjelmeland</t>
  </si>
  <si>
    <t>Tysfjord</t>
  </si>
  <si>
    <t>Gildeskål lokalrute</t>
  </si>
  <si>
    <t>Øksfjord-Holandshamn-Svolvær</t>
  </si>
  <si>
    <t>Sandnessjøen-Austbø-Herøysteder</t>
  </si>
  <si>
    <t>Lille Survik-Sennabukt</t>
  </si>
  <si>
    <t>Sommarøy-Tussøy-Sandneshamn</t>
  </si>
  <si>
    <t>Lurøy</t>
  </si>
  <si>
    <t>Alta-Kvalfjord</t>
  </si>
  <si>
    <t>Trondheim-Brekstad</t>
  </si>
  <si>
    <t>Hammerfest-Revsneshavn</t>
  </si>
  <si>
    <t>Brønnøysund-Stortorgnes</t>
  </si>
  <si>
    <t>Dyrøy-Øyrekken</t>
  </si>
  <si>
    <t>Florø-Måløy (ikke hurtigbåt?)</t>
  </si>
  <si>
    <t>Austevoll ruten</t>
  </si>
  <si>
    <t>Øksfjord-Langfjordhamn</t>
  </si>
  <si>
    <t>Harstad-Flakstadvåg</t>
  </si>
  <si>
    <t>Bodø-Helnessund</t>
  </si>
  <si>
    <t>Stavanger-Lysebotn (kombibåt)</t>
  </si>
  <si>
    <t>Flåm-Balestrand</t>
  </si>
  <si>
    <t>Herøyruta</t>
  </si>
  <si>
    <t>Tromsø-Skjervøy</t>
  </si>
  <si>
    <t>Brønnøysund-Sandnessjøen + Brønnøysund-Rørøy (Vega)</t>
  </si>
  <si>
    <t>Molde-Helland-Vikebuktsekken</t>
  </si>
  <si>
    <t>Stavanger-Ryfylke</t>
  </si>
  <si>
    <t>Reksteren-Våge-Os</t>
  </si>
  <si>
    <t>Rosendal-Bergen</t>
  </si>
  <si>
    <t>Alta-Hammerfest</t>
  </si>
  <si>
    <t>Norheimsund-Herand-Utne-Kinarsvik-Loftshus-Ulvik-Eidfjord</t>
  </si>
  <si>
    <t>Namsos-Leka og Rørvik</t>
  </si>
  <si>
    <t>Trænaruten</t>
  </si>
  <si>
    <t>Bodø-Svolvær</t>
  </si>
  <si>
    <t>Forvik-Vistensteder og Tjøtta-Husvika</t>
  </si>
  <si>
    <t>Tromsø-Harstad</t>
  </si>
  <si>
    <t>Bodø-Helgeland</t>
  </si>
  <si>
    <t>Skoleruta i Rognsundet Kvalfjord-Pollen</t>
  </si>
  <si>
    <t>Sandnessjøen-Bodø</t>
  </si>
  <si>
    <t>Trondheim-Kristiansund</t>
  </si>
  <si>
    <t>Sunnhordaland-Austevoll-Bergen</t>
  </si>
  <si>
    <t>Bergen-Nordfjord</t>
  </si>
  <si>
    <t>Sogn-Nordfjord</t>
  </si>
  <si>
    <t>Bergen-Sogn-Flåm</t>
  </si>
  <si>
    <t>Bergen</t>
  </si>
  <si>
    <t>Flåm</t>
  </si>
  <si>
    <t>Selje</t>
  </si>
  <si>
    <t>Sogndal</t>
  </si>
  <si>
    <t>Trondheim</t>
  </si>
  <si>
    <t>Kristiansund</t>
  </si>
  <si>
    <t>Ølen</t>
  </si>
  <si>
    <t>Sandnessjøen</t>
  </si>
  <si>
    <t>Bodø</t>
  </si>
  <si>
    <t>Alta</t>
  </si>
  <si>
    <t>Tromsø</t>
  </si>
  <si>
    <t>Harstad</t>
  </si>
  <si>
    <t>Tjøtta</t>
  </si>
  <si>
    <t>Svolvær</t>
  </si>
  <si>
    <t>Namsos</t>
  </si>
  <si>
    <t>Gutvik</t>
  </si>
  <si>
    <t>Norheimsund</t>
  </si>
  <si>
    <t>Eidfjord</t>
  </si>
  <si>
    <t>Hammerfest</t>
  </si>
  <si>
    <t>Reksteren</t>
  </si>
  <si>
    <t>Os</t>
  </si>
  <si>
    <t>Rosendal</t>
  </si>
  <si>
    <t>Stavanger</t>
  </si>
  <si>
    <t>Sauda</t>
  </si>
  <si>
    <t>Molde</t>
  </si>
  <si>
    <t>Vestnes</t>
  </si>
  <si>
    <t>Brønnøysund</t>
  </si>
  <si>
    <t>Skjervøy</t>
  </si>
  <si>
    <t>Balestrand</t>
  </si>
  <si>
    <t>Lysebotn</t>
  </si>
  <si>
    <t>Flakstadvåg</t>
  </si>
  <si>
    <t>Helnessund</t>
  </si>
  <si>
    <t>Stortorgnes</t>
  </si>
  <si>
    <t>Dyrøy</t>
  </si>
  <si>
    <t>Florø</t>
  </si>
  <si>
    <t>Måløy</t>
  </si>
  <si>
    <t>Brekstad</t>
  </si>
  <si>
    <t>Sommarøy</t>
  </si>
  <si>
    <t>Sandneshamn</t>
  </si>
  <si>
    <t>Stokkvågen</t>
  </si>
  <si>
    <t>Øksfjord</t>
  </si>
  <si>
    <t>Gildeskål</t>
  </si>
  <si>
    <t>Rødøy</t>
  </si>
  <si>
    <t>Melfjordbotn</t>
  </si>
  <si>
    <t>Ålesund</t>
  </si>
  <si>
    <t>Hjelmeland</t>
  </si>
  <si>
    <t>Hardbakke</t>
  </si>
  <si>
    <t>Ortnevik</t>
  </si>
  <si>
    <t>Vik</t>
  </si>
  <si>
    <t>Eivindvik</t>
  </si>
  <si>
    <t>Mastrevik</t>
  </si>
  <si>
    <t>Ørnes</t>
  </si>
  <si>
    <t>Mjømna</t>
  </si>
  <si>
    <t>Stokmarknes</t>
  </si>
  <si>
    <t>Barekstad</t>
  </si>
  <si>
    <t>Bindalseidet</t>
  </si>
  <si>
    <t>Harangsfjord</t>
  </si>
  <si>
    <t>Nordeide</t>
  </si>
  <si>
    <t>Tønsberg</t>
  </si>
  <si>
    <t>Engelsviken</t>
  </si>
  <si>
    <t>Vikane</t>
  </si>
  <si>
    <t>Evindvik</t>
  </si>
  <si>
    <t>Sollibotn</t>
  </si>
  <si>
    <t>Træna</t>
  </si>
  <si>
    <t>Vanvikan</t>
  </si>
  <si>
    <t>Solfjellsjøen</t>
  </si>
  <si>
    <t>Vandve</t>
  </si>
  <si>
    <t>Nesna</t>
  </si>
  <si>
    <t>Myre</t>
  </si>
  <si>
    <t>Øksnes</t>
  </si>
  <si>
    <t>Skjellfjord</t>
  </si>
  <si>
    <t>Byøyene</t>
  </si>
  <si>
    <t>Hommersåk</t>
  </si>
  <si>
    <t>Haugesund</t>
  </si>
  <si>
    <t>Sandviksberget</t>
  </si>
  <si>
    <t>Sætervik</t>
  </si>
  <si>
    <t>Hersvik</t>
  </si>
  <si>
    <t>Hellesøy</t>
  </si>
  <si>
    <t>Hernar</t>
  </si>
  <si>
    <t>Evenes</t>
  </si>
  <si>
    <t>Kjeldebotn</t>
  </si>
  <si>
    <t>Kleppestø</t>
  </si>
  <si>
    <t>Strandkaien</t>
  </si>
  <si>
    <t>Nesoddtangen</t>
  </si>
  <si>
    <t>Aker Brygge</t>
  </si>
  <si>
    <t>Værlandet</t>
  </si>
  <si>
    <t>Alden</t>
  </si>
  <si>
    <t>Langevåg</t>
  </si>
  <si>
    <t>Espvær</t>
  </si>
  <si>
    <t>Eidesvik</t>
  </si>
  <si>
    <t>Bulandet</t>
  </si>
  <si>
    <t>Sandøya</t>
  </si>
  <si>
    <t>Fonna</t>
  </si>
  <si>
    <t>Rute (NOX rapport)</t>
  </si>
  <si>
    <t>Endeplass 1</t>
  </si>
  <si>
    <t>Endeplass 2</t>
  </si>
  <si>
    <t>kWh/år</t>
  </si>
  <si>
    <t>H2 forbruk kg/år</t>
  </si>
  <si>
    <t>H2 forbruk kg/dag</t>
  </si>
  <si>
    <t>Energiforbruk/tur (kWh)</t>
  </si>
  <si>
    <t>H2 forbruk kg/tur</t>
  </si>
  <si>
    <t>Samband (Markedsoversikt)</t>
  </si>
  <si>
    <t>Operatør</t>
  </si>
  <si>
    <t>Rutenr</t>
  </si>
  <si>
    <t>Type båt</t>
  </si>
  <si>
    <t>Kontrakt slutt</t>
  </si>
  <si>
    <t>Rute beskrivelse/kommentar</t>
  </si>
  <si>
    <t>Sogn - Bergen - Sogn</t>
  </si>
  <si>
    <t>Kringom/Norled</t>
  </si>
  <si>
    <t>23-501</t>
  </si>
  <si>
    <t>Passasjer</t>
  </si>
  <si>
    <t>Nordfjord - Bergen - Nordfjord</t>
  </si>
  <si>
    <t>23-531</t>
  </si>
  <si>
    <t>Norled</t>
  </si>
  <si>
    <t>23-502</t>
  </si>
  <si>
    <t>Trondheim - Kristiansund</t>
  </si>
  <si>
    <t>Atb/FosenNamsos</t>
  </si>
  <si>
    <t>800/805</t>
  </si>
  <si>
    <t>Sunnhordland-Austevoll-Bergen</t>
  </si>
  <si>
    <t>Skyss/Norled</t>
  </si>
  <si>
    <t>NEX I</t>
  </si>
  <si>
    <t>Nordland/Boreal</t>
  </si>
  <si>
    <t>23-731</t>
  </si>
  <si>
    <t>Skoleskyssbåten i Rognsund</t>
  </si>
  <si>
    <t>Snelandia/Boreal</t>
  </si>
  <si>
    <t>Endeplass er på øy, H2-produksjon kan samordnes med andre ruter</t>
  </si>
  <si>
    <t>Tromsø-Finnsnes-Harstad</t>
  </si>
  <si>
    <t>Troms/Norled</t>
  </si>
  <si>
    <t>Visten</t>
  </si>
  <si>
    <t>Nordland/Torghatten</t>
  </si>
  <si>
    <t>18-167</t>
  </si>
  <si>
    <t>Endeplass er på øy. H2 produksjon kan samordnes med Sandnessjøen</t>
  </si>
  <si>
    <t>NEX II</t>
  </si>
  <si>
    <t>23-755</t>
  </si>
  <si>
    <t>18-191</t>
  </si>
  <si>
    <t>Endeplass er på øy</t>
  </si>
  <si>
    <t xml:space="preserve">Namsos - Rørvik - Leka </t>
  </si>
  <si>
    <t>AtB/Vidar Hop</t>
  </si>
  <si>
    <t>Turistrute Hardanger</t>
  </si>
  <si>
    <t>Ny rute MS Fjorddrott 180 PAX. Kun mai-sept.</t>
  </si>
  <si>
    <t>VargsundXpressen</t>
  </si>
  <si>
    <t>Skyss/Rødne</t>
  </si>
  <si>
    <t>70 PAX. Mistenker at distanse er for høy</t>
  </si>
  <si>
    <t>Ryfylke og Lysefj./Fisterøyene?</t>
  </si>
  <si>
    <t>Kolumbus</t>
  </si>
  <si>
    <t>504/510/518/528</t>
  </si>
  <si>
    <t>Mange ulike båter</t>
  </si>
  <si>
    <t>Fylkesinterne hurtigbåtruter</t>
  </si>
  <si>
    <t>Fram</t>
  </si>
  <si>
    <t>Brønnøysund- Sandnessjøen/Rørøy - Brønnøysund</t>
  </si>
  <si>
    <t>18-159/18-151</t>
  </si>
  <si>
    <t>Endestopp er på øy</t>
  </si>
  <si>
    <t>Herøy</t>
  </si>
  <si>
    <t>Reis/Boreal</t>
  </si>
  <si>
    <t>18-172</t>
  </si>
  <si>
    <t>Flåm - Balestrand</t>
  </si>
  <si>
    <t>Kringom/Fjord1</t>
  </si>
  <si>
    <t>14-141</t>
  </si>
  <si>
    <t xml:space="preserve">Ryfylke og Lysefj./Fisterøyene  </t>
  </si>
  <si>
    <t>Kolumbus/Norled</t>
  </si>
  <si>
    <t>Bilførende hurtigbåt</t>
  </si>
  <si>
    <t>Harstad-Bjarkøy-Senja</t>
  </si>
  <si>
    <t>Troms/Boreal</t>
  </si>
  <si>
    <t>Innarbeidet i Nex II fra 1.3.2019</t>
  </si>
  <si>
    <t>LoppaXpressen</t>
  </si>
  <si>
    <t>H2-produksjon kan samordnes med andre ruter</t>
  </si>
  <si>
    <t>SørøysundXpressen</t>
  </si>
  <si>
    <t>Ikke hurtigbåt</t>
  </si>
  <si>
    <t>Dyrøy - Øyrekken</t>
  </si>
  <si>
    <t>820/825</t>
  </si>
  <si>
    <t>Kystvegekspressen Florø - Måløy</t>
  </si>
  <si>
    <t>14-661</t>
  </si>
  <si>
    <t>Lokalbåt Austevoll</t>
  </si>
  <si>
    <t>AltafjordXpressen</t>
  </si>
  <si>
    <t>Trondheim - Brekstad</t>
  </si>
  <si>
    <t>Skyssbåten til Lille Survik</t>
  </si>
  <si>
    <t>Ikke fast rute</t>
  </si>
  <si>
    <t>Sommerøy-Tussøy</t>
  </si>
  <si>
    <t>Troms/Sommerøy Cruise</t>
  </si>
  <si>
    <t>18-193</t>
  </si>
  <si>
    <t>Endeplass er på øy. Mulig samordning med Sandnessjøen?</t>
  </si>
  <si>
    <t>?</t>
  </si>
  <si>
    <t>Tysfjorden</t>
  </si>
  <si>
    <t>Nordland/Lovund</t>
  </si>
  <si>
    <t>18-252</t>
  </si>
  <si>
    <t>Gildeskål lokal</t>
  </si>
  <si>
    <t>18-447</t>
  </si>
  <si>
    <t>Nedlagt</t>
  </si>
  <si>
    <t>Skolerute Rødøy + Melfjorden</t>
  </si>
  <si>
    <t>Reis</t>
  </si>
  <si>
    <t>18-413</t>
  </si>
  <si>
    <t>Fram/Boreal</t>
  </si>
  <si>
    <t>Væran</t>
  </si>
  <si>
    <t>Reis/Torghatten</t>
  </si>
  <si>
    <t>18-539</t>
  </si>
  <si>
    <t>Ytre Gildeskål</t>
  </si>
  <si>
    <t>18-445</t>
  </si>
  <si>
    <t>Hardbakke - Kolgrov - Utvær</t>
  </si>
  <si>
    <t>14-333</t>
  </si>
  <si>
    <t>Begge endeplasser på øy</t>
  </si>
  <si>
    <t>Vik - Ortnevik</t>
  </si>
  <si>
    <t>14-185</t>
  </si>
  <si>
    <t>Samme båt kjører flere ruter</t>
  </si>
  <si>
    <t>Skjervøy-Kvænangen</t>
  </si>
  <si>
    <t>Troms/Torghatten</t>
  </si>
  <si>
    <t>Ruter/Norled</t>
  </si>
  <si>
    <t>B21, B22</t>
  </si>
  <si>
    <t>Sommerrute, samme båt som B20</t>
  </si>
  <si>
    <t>Gulen - Ytre Solund</t>
  </si>
  <si>
    <t>14-318</t>
  </si>
  <si>
    <t>Florabassenget</t>
  </si>
  <si>
    <t>14-631</t>
  </si>
  <si>
    <t>MS Lysefjord, endeplass er på øy</t>
  </si>
  <si>
    <t>Nordland/RS Maritime</t>
  </si>
  <si>
    <t>18-433</t>
  </si>
  <si>
    <t>Hardbakke - Nåra - Mjømna</t>
  </si>
  <si>
    <t>14-334</t>
  </si>
  <si>
    <t>Begge endeplasser er på øy</t>
  </si>
  <si>
    <t>Hadselfjordbassenget</t>
  </si>
  <si>
    <t>18-837</t>
  </si>
  <si>
    <t>Ryfylke og Lysefj./Fisterøyene</t>
  </si>
  <si>
    <t>Oslo – Vollen – Slemmestad (linje B20)</t>
  </si>
  <si>
    <t>B20</t>
  </si>
  <si>
    <t>Kort liggetid + mange avganger morgen/ettermiddag. Mulig H2</t>
  </si>
  <si>
    <t>14-641</t>
  </si>
  <si>
    <t>Bindalseidet - Harangsfjord</t>
  </si>
  <si>
    <t>18-111</t>
  </si>
  <si>
    <t>Tromsø-Lysnes-Tennskjær</t>
  </si>
  <si>
    <t>Passasjer+kombi</t>
  </si>
  <si>
    <t>Kjøres av 4 båter, der 3 er bilførende. Endeplass på øy.</t>
  </si>
  <si>
    <t>Gåsvær - Midtre Solund - Hardbakke</t>
  </si>
  <si>
    <t>14-335</t>
  </si>
  <si>
    <t>Alle stopp er på øy</t>
  </si>
  <si>
    <t>Ortnevik - Måren - Nordeide</t>
  </si>
  <si>
    <t>14-242</t>
  </si>
  <si>
    <t>Flybåten</t>
  </si>
  <si>
    <t>Nordland/Salten Rib</t>
  </si>
  <si>
    <t>18-195</t>
  </si>
  <si>
    <t>Trondheim - Vanvikan</t>
  </si>
  <si>
    <t>MåsøyXpressen</t>
  </si>
  <si>
    <t>Endeplass er på øy (H2 tilgjengelig Hammerfest?)</t>
  </si>
  <si>
    <t>Nordland/Moskenes Shipping</t>
  </si>
  <si>
    <t>18-773</t>
  </si>
  <si>
    <t>18-553</t>
  </si>
  <si>
    <t>Nedlagt?</t>
  </si>
  <si>
    <t>18-188</t>
  </si>
  <si>
    <t>18-182</t>
  </si>
  <si>
    <t>Mulig samlokalisering Sandnessjøen</t>
  </si>
  <si>
    <t>Måløy - Silda/Måløy - Hennøystranda</t>
  </si>
  <si>
    <t>14-854</t>
  </si>
  <si>
    <t>Endestopp på øy</t>
  </si>
  <si>
    <t>Nordland/Salten Cruise</t>
  </si>
  <si>
    <t>18-866</t>
  </si>
  <si>
    <t>Røvær - Haugesund</t>
  </si>
  <si>
    <t>Osen</t>
  </si>
  <si>
    <t>Nord- Solund</t>
  </si>
  <si>
    <t>14-336</t>
  </si>
  <si>
    <t>Skyss/Gulen Skyss</t>
  </si>
  <si>
    <t>Evenes - Kjeldebotn</t>
  </si>
  <si>
    <t>F.o.m. 01.03.2020 er ruten lagt ned</t>
  </si>
  <si>
    <t xml:space="preserve">Oslo – Nesodden (B10) </t>
  </si>
  <si>
    <t>B10</t>
  </si>
  <si>
    <t>Batterielektrisk, ikke hurtigbåt</t>
  </si>
  <si>
    <t>Alden - Værlandet</t>
  </si>
  <si>
    <t>Espevær-Eidesvik</t>
  </si>
  <si>
    <t>Oslo – Nesodden – Lysaker - Nesoddens vestside</t>
  </si>
  <si>
    <t>B11</t>
  </si>
  <si>
    <t>Øyene i Oslos havnebasseng</t>
  </si>
  <si>
    <t>Ruter/Oslo-fergene</t>
  </si>
  <si>
    <t>B1</t>
  </si>
  <si>
    <t>Sum</t>
  </si>
  <si>
    <t>H2</t>
  </si>
  <si>
    <t>Max batterivekt</t>
  </si>
  <si>
    <t>Valgt system</t>
  </si>
  <si>
    <t>Manuell overstyring</t>
  </si>
  <si>
    <t>n/a</t>
  </si>
  <si>
    <t>Justerings-faktor</t>
  </si>
  <si>
    <t>Forbruk diesel L/år</t>
  </si>
  <si>
    <t>Omgjort til ferge</t>
  </si>
  <si>
    <t>Estimert dwt</t>
  </si>
  <si>
    <t>Batteri behov/max</t>
  </si>
  <si>
    <t>Forbruk diesel L/tur</t>
  </si>
  <si>
    <t>Fylkeskommune</t>
  </si>
  <si>
    <t>Vestland</t>
  </si>
  <si>
    <t>Troms og Finnmark</t>
  </si>
  <si>
    <t>Vestfold og Telemark</t>
  </si>
  <si>
    <t>Endeplass på øy</t>
  </si>
  <si>
    <t>Behov rekkevidde (nm)</t>
  </si>
  <si>
    <t>NEX I?</t>
  </si>
  <si>
    <t>FRA SELFA/NOX-RAPPORT</t>
  </si>
  <si>
    <t>FRA MARKEDSOVERSIKT</t>
  </si>
  <si>
    <t>Gjennomsnitt over året</t>
  </si>
  <si>
    <t>Justert forbruk diesel L/år</t>
  </si>
  <si>
    <t>Distanse (NM)</t>
  </si>
  <si>
    <t>Distanse NM/år</t>
  </si>
  <si>
    <t>Forbruk (L/NM)</t>
  </si>
  <si>
    <t>Ladeeffekt 15min (MW)</t>
  </si>
  <si>
    <t>Ladeeffekt 30min (MW)</t>
  </si>
  <si>
    <t>Ladeeffekt 60min (MW)</t>
  </si>
  <si>
    <t>Ladeeffekt 120min (MW)</t>
  </si>
  <si>
    <t>NORGE</t>
  </si>
  <si>
    <t>Kontrakt slutt inkl opsjoner</t>
  </si>
  <si>
    <t>End stop</t>
  </si>
  <si>
    <t>County Municipality</t>
  </si>
  <si>
    <t>Routes served with H2 2030</t>
  </si>
  <si>
    <t>Routes served</t>
  </si>
  <si>
    <t>na</t>
  </si>
  <si>
    <t>h2</t>
  </si>
  <si>
    <t>bat</t>
  </si>
  <si>
    <t>Hydrogen forbruk tonn/år</t>
  </si>
  <si>
    <t>Hydrogen forbruk GWh/år</t>
  </si>
  <si>
    <t>Batteri forbruk GWh/år</t>
  </si>
  <si>
    <t>Diesel forbruk millioner L/år</t>
  </si>
  <si>
    <t xml:space="preserve">Privat rute? </t>
  </si>
  <si>
    <t>Diesel forbruk GWh/år</t>
  </si>
  <si>
    <t>Total Hydrogen</t>
  </si>
  <si>
    <t>Total Battery</t>
  </si>
  <si>
    <t>Total Diesel</t>
  </si>
  <si>
    <t>Behov Batterikapasitet (kWh)</t>
  </si>
  <si>
    <t>Behov Batterivekt (tonn)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</si>
</sst>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1" applyNumberFormat="0" applyAlignment="0" applyProtection="0"/>
    <xf numFmtId="9" fontId="8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Fill="1"/>
    <xf numFmtId="0" fontId="2" fillId="2" borderId="0" xfId="1"/>
    <xf numFmtId="1" fontId="0" fillId="3" borderId="0" xfId="0" applyNumberFormat="1" applyFill="1"/>
    <xf numFmtId="0" fontId="4" fillId="0" borderId="0" xfId="3"/>
    <xf numFmtId="14" fontId="0" fillId="0" borderId="0" xfId="0" applyNumberFormat="1"/>
    <xf numFmtId="0" fontId="3" fillId="4" borderId="0" xfId="2"/>
    <xf numFmtId="0" fontId="0" fillId="0" borderId="0" xfId="0" applyFont="1" applyFill="1"/>
    <xf numFmtId="0" fontId="3" fillId="4" borderId="0" xfId="2" applyAlignment="1">
      <alignment wrapText="1"/>
    </xf>
    <xf numFmtId="0" fontId="5" fillId="5" borderId="0" xfId="4"/>
    <xf numFmtId="0" fontId="6" fillId="6" borderId="1" xfId="5"/>
    <xf numFmtId="0" fontId="3" fillId="4" borderId="0" xfId="2" applyBorder="1"/>
    <xf numFmtId="0" fontId="0" fillId="0" borderId="0" xfId="0" applyFill="1" applyBorder="1"/>
    <xf numFmtId="164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/>
    <xf numFmtId="1" fontId="0" fillId="0" borderId="0" xfId="0" applyNumberFormat="1" applyBorder="1"/>
    <xf numFmtId="0" fontId="4" fillId="0" borderId="0" xfId="3" applyBorder="1"/>
    <xf numFmtId="0" fontId="2" fillId="2" borderId="0" xfId="1" applyBorder="1"/>
    <xf numFmtId="9" fontId="0" fillId="0" borderId="0" xfId="6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1" fontId="0" fillId="0" borderId="0" xfId="0" applyNumberFormat="1" applyFill="1"/>
    <xf numFmtId="164" fontId="6" fillId="6" borderId="1" xfId="5" applyNumberFormat="1"/>
    <xf numFmtId="4" fontId="0" fillId="0" borderId="0" xfId="0" applyNumberFormat="1"/>
    <xf numFmtId="4" fontId="1" fillId="0" borderId="0" xfId="0" applyNumberFormat="1" applyFont="1" applyAlignment="1">
      <alignment wrapText="1"/>
    </xf>
    <xf numFmtId="1" fontId="6" fillId="6" borderId="1" xfId="5" applyNumberFormat="1"/>
    <xf numFmtId="164" fontId="0" fillId="3" borderId="0" xfId="0" applyNumberFormat="1" applyFill="1"/>
    <xf numFmtId="14" fontId="1" fillId="0" borderId="0" xfId="0" applyNumberFormat="1" applyFont="1" applyAlignment="1">
      <alignment wrapText="1"/>
    </xf>
    <xf numFmtId="14" fontId="0" fillId="0" borderId="0" xfId="0" applyNumberFormat="1" applyBorder="1"/>
    <xf numFmtId="14" fontId="1" fillId="0" borderId="0" xfId="0" applyNumberFormat="1" applyFont="1"/>
    <xf numFmtId="0" fontId="9" fillId="0" borderId="0" xfId="0" applyFont="1"/>
    <xf numFmtId="0" fontId="10" fillId="0" borderId="0" xfId="0" applyFont="1"/>
    <xf numFmtId="165" fontId="0" fillId="0" borderId="0" xfId="6" applyNumberFormat="1" applyFont="1"/>
    <xf numFmtId="0" fontId="0" fillId="0" borderId="0" xfId="0" applyAlignment="1">
      <alignment horizontal="center"/>
    </xf>
    <xf numFmtId="164" fontId="0" fillId="0" borderId="0" xfId="0" applyNumberFormat="1" applyFill="1"/>
    <xf numFmtId="164" fontId="1" fillId="0" borderId="0" xfId="0" applyNumberFormat="1" applyFont="1" applyFill="1" applyAlignment="1">
      <alignment wrapText="1"/>
    </xf>
    <xf numFmtId="1" fontId="0" fillId="0" borderId="0" xfId="0" applyNumberFormat="1" applyFill="1" applyBorder="1"/>
    <xf numFmtId="0" fontId="0" fillId="0" borderId="0" xfId="0" quotePrefix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7">
    <cellStyle name="Bad" xfId="1" builtinId="27"/>
    <cellStyle name="Calculation" xfId="5" builtinId="22"/>
    <cellStyle name="Good" xfId="2" builtinId="26"/>
    <cellStyle name="Hyperlink" xfId="3" builtinId="8"/>
    <cellStyle name="Neutral" xfId="4" builtinId="28"/>
    <cellStyle name="Normal" xfId="0" builtinId="0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Average daily hydrogen consumption per harbour (&gt;350 kg/day 2030)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'H2 pr endeplass'!$A$4</c:f>
              <c:strCache>
                <c:ptCount val="1"/>
                <c:pt idx="0">
                  <c:v>Bergen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endeplass'!$E$4:$S$4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1282.7995958773211</c:v>
                </c:pt>
                <c:pt idx="2">
                  <c:v>1282.7995958773211</c:v>
                </c:pt>
                <c:pt idx="3">
                  <c:v>2217.2613432745811</c:v>
                </c:pt>
                <c:pt idx="4">
                  <c:v>2217.2613432745811</c:v>
                </c:pt>
                <c:pt idx="5">
                  <c:v>2217.2613432745811</c:v>
                </c:pt>
                <c:pt idx="6">
                  <c:v>3669.6299335993908</c:v>
                </c:pt>
                <c:pt idx="7">
                  <c:v>3669.6299335993908</c:v>
                </c:pt>
                <c:pt idx="8">
                  <c:v>3669.6299335993908</c:v>
                </c:pt>
                <c:pt idx="9">
                  <c:v>3669.6299335993908</c:v>
                </c:pt>
                <c:pt idx="10">
                  <c:v>3669.6299335993908</c:v>
                </c:pt>
                <c:pt idx="11">
                  <c:v>3669.6299335993908</c:v>
                </c:pt>
                <c:pt idx="12">
                  <c:v>3669.6299335993908</c:v>
                </c:pt>
                <c:pt idx="13">
                  <c:v>3669.6299335993908</c:v>
                </c:pt>
                <c:pt idx="14">
                  <c:v>3669.6299335993908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9D-410D-BB0E-87EE1CA11B3A}"/>
            </c:ext>
          </c:extLst>
        </c:ser>
        <c:ser>
          <c:idx val="1"/>
          <c:order val="1"/>
          <c:tx>
            <c:strRef>
              <c:f>'H2 pr endeplass'!$A$5</c:f>
              <c:strCache>
                <c:ptCount val="1"/>
                <c:pt idx="0">
                  <c:v>Sandnessjøen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endeplass'!$E$5:$S$5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1403.1729192336379</c:v>
                </c:pt>
                <c:pt idx="2">
                  <c:v>1403.1729192336379</c:v>
                </c:pt>
                <c:pt idx="3">
                  <c:v>1403.1729192336379</c:v>
                </c:pt>
                <c:pt idx="4">
                  <c:v>1403.1729192336379</c:v>
                </c:pt>
                <c:pt idx="5">
                  <c:v>1403.1729192336379</c:v>
                </c:pt>
                <c:pt idx="6">
                  <c:v>2235.0009268117201</c:v>
                </c:pt>
                <c:pt idx="7">
                  <c:v>2235.0009268117201</c:v>
                </c:pt>
                <c:pt idx="8">
                  <c:v>2235.0009268117201</c:v>
                </c:pt>
                <c:pt idx="9">
                  <c:v>2235.0009268117201</c:v>
                </c:pt>
                <c:pt idx="10">
                  <c:v>2235.0009268117201</c:v>
                </c:pt>
                <c:pt idx="11">
                  <c:v>2235.0009268117201</c:v>
                </c:pt>
                <c:pt idx="12">
                  <c:v>2235.0009268117201</c:v>
                </c:pt>
                <c:pt idx="13">
                  <c:v>2235.0009268117201</c:v>
                </c:pt>
                <c:pt idx="14">
                  <c:v>2235.0009268117201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9D-410D-BB0E-87EE1CA11B3A}"/>
            </c:ext>
          </c:extLst>
        </c:ser>
        <c:ser>
          <c:idx val="2"/>
          <c:order val="2"/>
          <c:tx>
            <c:strRef>
              <c:f>'H2 pr endeplass'!$A$6</c:f>
              <c:strCache>
                <c:ptCount val="1"/>
                <c:pt idx="0">
                  <c:v>Bodø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endeplass'!$E$6:$S$6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939.31728392785385</c:v>
                </c:pt>
                <c:pt idx="2">
                  <c:v>939.31728392785385</c:v>
                </c:pt>
                <c:pt idx="3">
                  <c:v>939.31728392785385</c:v>
                </c:pt>
                <c:pt idx="4">
                  <c:v>939.31728392785385</c:v>
                </c:pt>
                <c:pt idx="5">
                  <c:v>939.31728392785385</c:v>
                </c:pt>
                <c:pt idx="6">
                  <c:v>2155.1776592073061</c:v>
                </c:pt>
                <c:pt idx="7">
                  <c:v>2155.1776592073061</c:v>
                </c:pt>
                <c:pt idx="8">
                  <c:v>2155.1776592073061</c:v>
                </c:pt>
                <c:pt idx="9">
                  <c:v>2155.1776592073061</c:v>
                </c:pt>
                <c:pt idx="10">
                  <c:v>2155.1776592073061</c:v>
                </c:pt>
                <c:pt idx="11">
                  <c:v>2155.1776592073061</c:v>
                </c:pt>
                <c:pt idx="12">
                  <c:v>2155.1776592073061</c:v>
                </c:pt>
                <c:pt idx="13">
                  <c:v>2155.1776592073061</c:v>
                </c:pt>
                <c:pt idx="14">
                  <c:v>2155.1776592073061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9D-410D-BB0E-87EE1CA11B3A}"/>
            </c:ext>
          </c:extLst>
        </c:ser>
        <c:ser>
          <c:idx val="3"/>
          <c:order val="3"/>
          <c:tx>
            <c:strRef>
              <c:f>'H2 pr endeplass'!$A$7</c:f>
              <c:strCache>
                <c:ptCount val="1"/>
                <c:pt idx="0">
                  <c:v>Selje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endeplass'!$E$7:$S$7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1354.9695337260273</c:v>
                </c:pt>
                <c:pt idx="4">
                  <c:v>1354.9695337260273</c:v>
                </c:pt>
                <c:pt idx="5">
                  <c:v>1354.9695337260273</c:v>
                </c:pt>
                <c:pt idx="6">
                  <c:v>1354.9695337260273</c:v>
                </c:pt>
                <c:pt idx="7">
                  <c:v>1354.9695337260273</c:v>
                </c:pt>
                <c:pt idx="8">
                  <c:v>1354.9695337260273</c:v>
                </c:pt>
                <c:pt idx="9">
                  <c:v>1354.9695337260273</c:v>
                </c:pt>
                <c:pt idx="10">
                  <c:v>1354.9695337260273</c:v>
                </c:pt>
                <c:pt idx="11">
                  <c:v>1354.9695337260273</c:v>
                </c:pt>
                <c:pt idx="12">
                  <c:v>1354.9695337260273</c:v>
                </c:pt>
                <c:pt idx="13">
                  <c:v>1354.9695337260273</c:v>
                </c:pt>
                <c:pt idx="14">
                  <c:v>1354.9695337260273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9D-410D-BB0E-87EE1CA11B3A}"/>
            </c:ext>
          </c:extLst>
        </c:ser>
        <c:ser>
          <c:idx val="4"/>
          <c:order val="4"/>
          <c:tx>
            <c:strRef>
              <c:f>'H2 pr endeplass'!$A$8</c:f>
              <c:strCache>
                <c:ptCount val="1"/>
                <c:pt idx="0">
                  <c:v>Trondheim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endeplass'!$E$8:$S$8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1253.1663594547947</c:v>
                </c:pt>
                <c:pt idx="3">
                  <c:v>1253.1663594547947</c:v>
                </c:pt>
                <c:pt idx="4">
                  <c:v>1253.1663594547947</c:v>
                </c:pt>
                <c:pt idx="5">
                  <c:v>1253.1663594547947</c:v>
                </c:pt>
                <c:pt idx="6">
                  <c:v>1253.1663594547947</c:v>
                </c:pt>
                <c:pt idx="7">
                  <c:v>1253.1663594547947</c:v>
                </c:pt>
                <c:pt idx="8">
                  <c:v>1253.1663594547947</c:v>
                </c:pt>
                <c:pt idx="9">
                  <c:v>1253.1663594547947</c:v>
                </c:pt>
                <c:pt idx="10">
                  <c:v>1253.1663594547947</c:v>
                </c:pt>
                <c:pt idx="11">
                  <c:v>1253.1663594547947</c:v>
                </c:pt>
                <c:pt idx="12">
                  <c:v>1253.1663594547947</c:v>
                </c:pt>
                <c:pt idx="13">
                  <c:v>1253.1663594547947</c:v>
                </c:pt>
                <c:pt idx="14">
                  <c:v>1253.1663594547947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9D-410D-BB0E-87EE1CA11B3A}"/>
            </c:ext>
          </c:extLst>
        </c:ser>
        <c:ser>
          <c:idx val="5"/>
          <c:order val="5"/>
          <c:tx>
            <c:strRef>
              <c:f>'H2 pr endeplass'!$A$9</c:f>
              <c:strCache>
                <c:ptCount val="1"/>
                <c:pt idx="0">
                  <c:v>Dyrøy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endeplass'!$E$9:$S$9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1117.9038864054794</c:v>
                </c:pt>
                <c:pt idx="3">
                  <c:v>1117.9038864054794</c:v>
                </c:pt>
                <c:pt idx="4">
                  <c:v>1117.9038864054794</c:v>
                </c:pt>
                <c:pt idx="5">
                  <c:v>1117.9038864054794</c:v>
                </c:pt>
                <c:pt idx="6">
                  <c:v>1117.9038864054794</c:v>
                </c:pt>
                <c:pt idx="7">
                  <c:v>1117.9038864054794</c:v>
                </c:pt>
                <c:pt idx="8">
                  <c:v>1117.9038864054794</c:v>
                </c:pt>
                <c:pt idx="9">
                  <c:v>1117.9038864054794</c:v>
                </c:pt>
                <c:pt idx="10">
                  <c:v>1117.9038864054794</c:v>
                </c:pt>
                <c:pt idx="11">
                  <c:v>1117.9038864054794</c:v>
                </c:pt>
                <c:pt idx="12">
                  <c:v>1117.9038864054794</c:v>
                </c:pt>
                <c:pt idx="13">
                  <c:v>1117.9038864054794</c:v>
                </c:pt>
                <c:pt idx="14">
                  <c:v>1117.9038864054794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9D-410D-BB0E-87EE1CA11B3A}"/>
            </c:ext>
          </c:extLst>
        </c:ser>
        <c:ser>
          <c:idx val="6"/>
          <c:order val="6"/>
          <c:tx>
            <c:strRef>
              <c:f>'H2 pr endeplass'!$A$10</c:f>
              <c:strCache>
                <c:ptCount val="1"/>
                <c:pt idx="0">
                  <c:v>Flåm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endeplass'!$E$10:$S$10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1055.7192836666666</c:v>
                </c:pt>
                <c:pt idx="2">
                  <c:v>1055.7192836666666</c:v>
                </c:pt>
                <c:pt idx="3">
                  <c:v>1112.4544611872145</c:v>
                </c:pt>
                <c:pt idx="4">
                  <c:v>1112.4544611872145</c:v>
                </c:pt>
                <c:pt idx="5">
                  <c:v>1112.4544611872145</c:v>
                </c:pt>
                <c:pt idx="6">
                  <c:v>1112.4544611872145</c:v>
                </c:pt>
                <c:pt idx="7">
                  <c:v>1112.4544611872145</c:v>
                </c:pt>
                <c:pt idx="8">
                  <c:v>1112.4544611872145</c:v>
                </c:pt>
                <c:pt idx="9">
                  <c:v>1112.4544611872145</c:v>
                </c:pt>
                <c:pt idx="10">
                  <c:v>1112.4544611872145</c:v>
                </c:pt>
                <c:pt idx="11">
                  <c:v>1112.4544611872145</c:v>
                </c:pt>
                <c:pt idx="12">
                  <c:v>1112.4544611872145</c:v>
                </c:pt>
                <c:pt idx="13">
                  <c:v>1112.4544611872145</c:v>
                </c:pt>
                <c:pt idx="14">
                  <c:v>1112.4544611872145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F9D-410D-BB0E-87EE1CA11B3A}"/>
            </c:ext>
          </c:extLst>
        </c:ser>
        <c:ser>
          <c:idx val="7"/>
          <c:order val="7"/>
          <c:tx>
            <c:strRef>
              <c:f>'H2 pr endeplass'!$A$11</c:f>
              <c:strCache>
                <c:ptCount val="1"/>
                <c:pt idx="0">
                  <c:v>Ølen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endeplass'!$E$11:$S$11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1097.7089863683409</c:v>
                </c:pt>
                <c:pt idx="7">
                  <c:v>1097.7089863683409</c:v>
                </c:pt>
                <c:pt idx="8">
                  <c:v>1097.7089863683409</c:v>
                </c:pt>
                <c:pt idx="9">
                  <c:v>1097.7089863683409</c:v>
                </c:pt>
                <c:pt idx="10">
                  <c:v>1097.7089863683409</c:v>
                </c:pt>
                <c:pt idx="11">
                  <c:v>1097.7089863683409</c:v>
                </c:pt>
                <c:pt idx="12">
                  <c:v>1097.7089863683409</c:v>
                </c:pt>
                <c:pt idx="13">
                  <c:v>1097.7089863683409</c:v>
                </c:pt>
                <c:pt idx="14">
                  <c:v>1097.7089863683409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F9D-410D-BB0E-87EE1CA11B3A}"/>
            </c:ext>
          </c:extLst>
        </c:ser>
        <c:ser>
          <c:idx val="8"/>
          <c:order val="8"/>
          <c:tx>
            <c:strRef>
              <c:f>'H2 pr endeplass'!$A$12</c:f>
              <c:strCache>
                <c:ptCount val="1"/>
                <c:pt idx="0">
                  <c:v>Stavanger</c:v>
                </c:pt>
              </c:strCache>
            </c:strRef>
          </c:tx>
          <c:spPr>
            <a:ln w="95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endeplass'!$E$12:$S$12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1034.5826489041094</c:v>
                </c:pt>
                <c:pt idx="4">
                  <c:v>1034.5826489041094</c:v>
                </c:pt>
                <c:pt idx="5">
                  <c:v>1034.5826489041094</c:v>
                </c:pt>
                <c:pt idx="6">
                  <c:v>1034.5826489041094</c:v>
                </c:pt>
                <c:pt idx="7">
                  <c:v>1034.5826489041094</c:v>
                </c:pt>
                <c:pt idx="8">
                  <c:v>1034.5826489041094</c:v>
                </c:pt>
                <c:pt idx="9">
                  <c:v>1034.5826489041094</c:v>
                </c:pt>
                <c:pt idx="10">
                  <c:v>1034.5826489041094</c:v>
                </c:pt>
                <c:pt idx="11">
                  <c:v>1034.5826489041094</c:v>
                </c:pt>
                <c:pt idx="12">
                  <c:v>1034.5826489041094</c:v>
                </c:pt>
                <c:pt idx="13">
                  <c:v>1034.5826489041094</c:v>
                </c:pt>
                <c:pt idx="14">
                  <c:v>1034.5826489041094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F9D-410D-BB0E-87EE1CA11B3A}"/>
            </c:ext>
          </c:extLst>
        </c:ser>
        <c:ser>
          <c:idx val="9"/>
          <c:order val="9"/>
          <c:tx>
            <c:strRef>
              <c:f>'H2 pr endeplass'!$A$13</c:f>
              <c:strCache>
                <c:ptCount val="1"/>
                <c:pt idx="0">
                  <c:v>Kristiansund</c:v>
                </c:pt>
              </c:strCache>
            </c:strRef>
          </c:tx>
          <c:spPr>
            <a:ln w="95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endeplass'!$E$13:$S$13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948.22195334794537</c:v>
                </c:pt>
                <c:pt idx="3">
                  <c:v>948.22195334794537</c:v>
                </c:pt>
                <c:pt idx="4">
                  <c:v>948.22195334794537</c:v>
                </c:pt>
                <c:pt idx="5">
                  <c:v>948.22195334794537</c:v>
                </c:pt>
                <c:pt idx="6">
                  <c:v>948.22195334794537</c:v>
                </c:pt>
                <c:pt idx="7">
                  <c:v>948.22195334794537</c:v>
                </c:pt>
                <c:pt idx="8">
                  <c:v>948.22195334794537</c:v>
                </c:pt>
                <c:pt idx="9">
                  <c:v>948.22195334794537</c:v>
                </c:pt>
                <c:pt idx="10">
                  <c:v>948.22195334794537</c:v>
                </c:pt>
                <c:pt idx="11">
                  <c:v>948.22195334794537</c:v>
                </c:pt>
                <c:pt idx="12">
                  <c:v>948.22195334794537</c:v>
                </c:pt>
                <c:pt idx="13">
                  <c:v>948.22195334794537</c:v>
                </c:pt>
                <c:pt idx="14">
                  <c:v>948.22195334794537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F9D-410D-BB0E-87EE1CA11B3A}"/>
            </c:ext>
          </c:extLst>
        </c:ser>
        <c:ser>
          <c:idx val="10"/>
          <c:order val="10"/>
          <c:tx>
            <c:strRef>
              <c:f>'H2 pr endeplass'!$A$14</c:f>
              <c:strCache>
                <c:ptCount val="1"/>
                <c:pt idx="0">
                  <c:v>Oslo</c:v>
                </c:pt>
              </c:strCache>
            </c:strRef>
          </c:tx>
          <c:spPr>
            <a:ln w="95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endeplass'!$E$14:$S$14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749.44963357808217</c:v>
                </c:pt>
                <c:pt idx="4">
                  <c:v>749.44963357808217</c:v>
                </c:pt>
                <c:pt idx="5">
                  <c:v>749.44963357808217</c:v>
                </c:pt>
                <c:pt idx="6">
                  <c:v>749.44963357808217</c:v>
                </c:pt>
                <c:pt idx="7">
                  <c:v>749.44963357808217</c:v>
                </c:pt>
                <c:pt idx="8">
                  <c:v>749.44963357808217</c:v>
                </c:pt>
                <c:pt idx="9">
                  <c:v>749.44963357808217</c:v>
                </c:pt>
                <c:pt idx="10">
                  <c:v>749.44963357808217</c:v>
                </c:pt>
                <c:pt idx="11">
                  <c:v>749.44963357808217</c:v>
                </c:pt>
                <c:pt idx="12">
                  <c:v>749.44963357808217</c:v>
                </c:pt>
                <c:pt idx="13">
                  <c:v>749.44963357808217</c:v>
                </c:pt>
                <c:pt idx="14">
                  <c:v>749.44963357808217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F9D-410D-BB0E-87EE1CA11B3A}"/>
            </c:ext>
          </c:extLst>
        </c:ser>
        <c:ser>
          <c:idx val="11"/>
          <c:order val="11"/>
          <c:tx>
            <c:strRef>
              <c:f>'H2 pr endeplass'!$A$15</c:f>
              <c:strCache>
                <c:ptCount val="1"/>
                <c:pt idx="0">
                  <c:v>Alta</c:v>
                </c:pt>
              </c:strCache>
            </c:strRef>
          </c:tx>
          <c:spPr>
            <a:ln w="95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endeplass'!$E$15:$S$15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744.72738413211573</c:v>
                </c:pt>
                <c:pt idx="5">
                  <c:v>744.72738413211573</c:v>
                </c:pt>
                <c:pt idx="6">
                  <c:v>744.72738413211573</c:v>
                </c:pt>
                <c:pt idx="7">
                  <c:v>744.72738413211573</c:v>
                </c:pt>
                <c:pt idx="8">
                  <c:v>744.72738413211573</c:v>
                </c:pt>
                <c:pt idx="9">
                  <c:v>744.72738413211573</c:v>
                </c:pt>
                <c:pt idx="10">
                  <c:v>744.72738413211573</c:v>
                </c:pt>
                <c:pt idx="11">
                  <c:v>744.72738413211573</c:v>
                </c:pt>
                <c:pt idx="12">
                  <c:v>744.72738413211573</c:v>
                </c:pt>
                <c:pt idx="13">
                  <c:v>744.72738413211573</c:v>
                </c:pt>
                <c:pt idx="14">
                  <c:v>744.72738413211573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F9D-410D-BB0E-87EE1CA11B3A}"/>
            </c:ext>
          </c:extLst>
        </c:ser>
        <c:ser>
          <c:idx val="12"/>
          <c:order val="12"/>
          <c:tx>
            <c:strRef>
              <c:f>'H2 pr endeplass'!$A$16</c:f>
              <c:strCache>
                <c:ptCount val="1"/>
                <c:pt idx="0">
                  <c:v>Ålesund</c:v>
                </c:pt>
              </c:strCache>
            </c:strRef>
          </c:tx>
          <c:spPr>
            <a:ln w="95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endeplass'!$E$16:$S$16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602.03417899543376</c:v>
                </c:pt>
                <c:pt idx="6">
                  <c:v>602.03417899543376</c:v>
                </c:pt>
                <c:pt idx="7">
                  <c:v>602.03417899543376</c:v>
                </c:pt>
                <c:pt idx="8">
                  <c:v>602.03417899543376</c:v>
                </c:pt>
                <c:pt idx="9">
                  <c:v>602.03417899543376</c:v>
                </c:pt>
                <c:pt idx="10">
                  <c:v>602.03417899543376</c:v>
                </c:pt>
                <c:pt idx="11">
                  <c:v>602.03417899543376</c:v>
                </c:pt>
                <c:pt idx="12">
                  <c:v>602.03417899543376</c:v>
                </c:pt>
                <c:pt idx="13">
                  <c:v>602.03417899543376</c:v>
                </c:pt>
                <c:pt idx="14">
                  <c:v>602.03417899543376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F9D-410D-BB0E-87EE1CA11B3A}"/>
            </c:ext>
          </c:extLst>
        </c:ser>
        <c:ser>
          <c:idx val="13"/>
          <c:order val="13"/>
          <c:tx>
            <c:strRef>
              <c:f>'H2 pr endeplass'!$A$17</c:f>
              <c:strCache>
                <c:ptCount val="1"/>
                <c:pt idx="0">
                  <c:v>Sauda</c:v>
                </c:pt>
              </c:strCache>
            </c:strRef>
          </c:tx>
          <c:spPr>
            <a:ln w="95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endeplass'!$E$17:$S$17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586.04101015342462</c:v>
                </c:pt>
                <c:pt idx="4">
                  <c:v>586.04101015342462</c:v>
                </c:pt>
                <c:pt idx="5">
                  <c:v>586.04101015342462</c:v>
                </c:pt>
                <c:pt idx="6">
                  <c:v>586.04101015342462</c:v>
                </c:pt>
                <c:pt idx="7">
                  <c:v>586.04101015342462</c:v>
                </c:pt>
                <c:pt idx="8">
                  <c:v>586.04101015342462</c:v>
                </c:pt>
                <c:pt idx="9">
                  <c:v>586.04101015342462</c:v>
                </c:pt>
                <c:pt idx="10">
                  <c:v>586.04101015342462</c:v>
                </c:pt>
                <c:pt idx="11">
                  <c:v>586.04101015342462</c:v>
                </c:pt>
                <c:pt idx="12">
                  <c:v>586.04101015342462</c:v>
                </c:pt>
                <c:pt idx="13">
                  <c:v>586.04101015342462</c:v>
                </c:pt>
                <c:pt idx="14">
                  <c:v>586.04101015342462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F9D-410D-BB0E-87EE1CA11B3A}"/>
            </c:ext>
          </c:extLst>
        </c:ser>
        <c:ser>
          <c:idx val="14"/>
          <c:order val="14"/>
          <c:tx>
            <c:strRef>
              <c:f>'H2 pr endeplass'!$A$18</c:f>
              <c:strCache>
                <c:ptCount val="1"/>
                <c:pt idx="0">
                  <c:v>Hammerfest</c:v>
                </c:pt>
              </c:strCache>
            </c:strRef>
          </c:tx>
          <c:spPr>
            <a:ln w="95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endeplass'!$E$18:$S$18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520.23605684931499</c:v>
                </c:pt>
                <c:pt idx="5">
                  <c:v>520.23605684931499</c:v>
                </c:pt>
                <c:pt idx="6">
                  <c:v>520.23605684931499</c:v>
                </c:pt>
                <c:pt idx="7">
                  <c:v>520.23605684931499</c:v>
                </c:pt>
                <c:pt idx="8">
                  <c:v>520.23605684931499</c:v>
                </c:pt>
                <c:pt idx="9">
                  <c:v>520.23605684931499</c:v>
                </c:pt>
                <c:pt idx="10">
                  <c:v>520.23605684931499</c:v>
                </c:pt>
                <c:pt idx="11">
                  <c:v>520.23605684931499</c:v>
                </c:pt>
                <c:pt idx="12">
                  <c:v>520.23605684931499</c:v>
                </c:pt>
                <c:pt idx="13">
                  <c:v>520.23605684931499</c:v>
                </c:pt>
                <c:pt idx="14">
                  <c:v>520.23605684931499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F9D-410D-BB0E-87EE1CA11B3A}"/>
            </c:ext>
          </c:extLst>
        </c:ser>
        <c:ser>
          <c:idx val="15"/>
          <c:order val="15"/>
          <c:tx>
            <c:strRef>
              <c:f>'H2 pr endeplass'!$A$19</c:f>
              <c:strCache>
                <c:ptCount val="1"/>
                <c:pt idx="0">
                  <c:v>Florø</c:v>
                </c:pt>
              </c:strCache>
            </c:strRef>
          </c:tx>
          <c:spPr>
            <a:ln w="95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endeplass'!$E$19:$S$19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433.77871366575346</c:v>
                </c:pt>
                <c:pt idx="4">
                  <c:v>433.77871366575346</c:v>
                </c:pt>
                <c:pt idx="5">
                  <c:v>433.77871366575346</c:v>
                </c:pt>
                <c:pt idx="6">
                  <c:v>433.77871366575346</c:v>
                </c:pt>
                <c:pt idx="7">
                  <c:v>433.77871366575346</c:v>
                </c:pt>
                <c:pt idx="8">
                  <c:v>433.77871366575346</c:v>
                </c:pt>
                <c:pt idx="9">
                  <c:v>433.77871366575346</c:v>
                </c:pt>
                <c:pt idx="10">
                  <c:v>433.77871366575346</c:v>
                </c:pt>
                <c:pt idx="11">
                  <c:v>433.77871366575346</c:v>
                </c:pt>
                <c:pt idx="12">
                  <c:v>433.77871366575346</c:v>
                </c:pt>
                <c:pt idx="13">
                  <c:v>433.77871366575346</c:v>
                </c:pt>
                <c:pt idx="14">
                  <c:v>433.77871366575346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F9D-410D-BB0E-87EE1CA11B3A}"/>
            </c:ext>
          </c:extLst>
        </c:ser>
        <c:ser>
          <c:idx val="16"/>
          <c:order val="16"/>
          <c:tx>
            <c:strRef>
              <c:f>'H2 pr endeplass'!$A$20</c:f>
              <c:strCache>
                <c:ptCount val="1"/>
                <c:pt idx="0">
                  <c:v>Sogndal</c:v>
                </c:pt>
              </c:strCache>
            </c:strRef>
          </c:tx>
          <c:spPr>
            <a:ln w="95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endeplass'!$E$20:$S$20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420.50778632876711</c:v>
                </c:pt>
                <c:pt idx="4">
                  <c:v>420.50778632876711</c:v>
                </c:pt>
                <c:pt idx="5">
                  <c:v>420.50778632876711</c:v>
                </c:pt>
                <c:pt idx="6">
                  <c:v>420.50778632876711</c:v>
                </c:pt>
                <c:pt idx="7">
                  <c:v>420.50778632876711</c:v>
                </c:pt>
                <c:pt idx="8">
                  <c:v>420.50778632876711</c:v>
                </c:pt>
                <c:pt idx="9">
                  <c:v>420.50778632876711</c:v>
                </c:pt>
                <c:pt idx="10">
                  <c:v>420.50778632876711</c:v>
                </c:pt>
                <c:pt idx="11">
                  <c:v>420.50778632876711</c:v>
                </c:pt>
                <c:pt idx="12">
                  <c:v>420.50778632876711</c:v>
                </c:pt>
                <c:pt idx="13">
                  <c:v>420.50778632876711</c:v>
                </c:pt>
                <c:pt idx="14">
                  <c:v>420.50778632876711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F9D-410D-BB0E-87EE1CA11B3A}"/>
            </c:ext>
          </c:extLst>
        </c:ser>
        <c:ser>
          <c:idx val="17"/>
          <c:order val="17"/>
          <c:tx>
            <c:strRef>
              <c:f>'H2 pr endeplass'!$A$21</c:f>
              <c:strCache>
                <c:ptCount val="1"/>
                <c:pt idx="0">
                  <c:v>Svolvær</c:v>
                </c:pt>
              </c:strCache>
            </c:strRef>
          </c:tx>
          <c:spPr>
            <a:ln w="95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 pr endeplass'!$E$3:$S$3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'H2 pr endeplass'!$E$21:$S$21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384.03236770136982</c:v>
                </c:pt>
                <c:pt idx="7">
                  <c:v>384.03236770136982</c:v>
                </c:pt>
                <c:pt idx="8">
                  <c:v>384.03236770136982</c:v>
                </c:pt>
                <c:pt idx="9">
                  <c:v>384.03236770136982</c:v>
                </c:pt>
                <c:pt idx="10">
                  <c:v>384.03236770136982</c:v>
                </c:pt>
                <c:pt idx="11">
                  <c:v>384.03236770136982</c:v>
                </c:pt>
                <c:pt idx="12">
                  <c:v>384.03236770136982</c:v>
                </c:pt>
                <c:pt idx="13">
                  <c:v>384.03236770136982</c:v>
                </c:pt>
                <c:pt idx="14">
                  <c:v>384.03236770136982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F9D-410D-BB0E-87EE1CA11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111944"/>
        <c:axId val="918112272"/>
      </c:scatterChart>
      <c:valAx>
        <c:axId val="918111944"/>
        <c:scaling>
          <c:orientation val="minMax"/>
          <c:max val="2030"/>
          <c:min val="202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18112272"/>
        <c:crosses val="autoZero"/>
        <c:crossBetween val="midCat"/>
        <c:majorUnit val="1"/>
      </c:valAx>
      <c:valAx>
        <c:axId val="9181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Daily hydrogen consumption [kg/day]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18111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Yearly hydrogen consumption per county municipality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'Energi per fylke'!$A$4</c:f>
              <c:strCache>
                <c:ptCount val="1"/>
                <c:pt idx="0">
                  <c:v>Vestland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fylke'!$B$3:$P$3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fylke'!$B$4:$P$4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853.55939103355547</c:v>
                </c:pt>
                <c:pt idx="2">
                  <c:v>853.55939103355547</c:v>
                </c:pt>
                <c:pt idx="3">
                  <c:v>2100.6532360637775</c:v>
                </c:pt>
                <c:pt idx="4">
                  <c:v>2100.6532360637775</c:v>
                </c:pt>
                <c:pt idx="5">
                  <c:v>2161.3976994624445</c:v>
                </c:pt>
                <c:pt idx="6">
                  <c:v>2807.2415348452223</c:v>
                </c:pt>
                <c:pt idx="7">
                  <c:v>2807.2415348452223</c:v>
                </c:pt>
                <c:pt idx="8">
                  <c:v>2807.2415348452223</c:v>
                </c:pt>
                <c:pt idx="9">
                  <c:v>2807.2415348452223</c:v>
                </c:pt>
                <c:pt idx="10">
                  <c:v>2807.2415348452223</c:v>
                </c:pt>
                <c:pt idx="11">
                  <c:v>2807.2415348452223</c:v>
                </c:pt>
                <c:pt idx="12">
                  <c:v>2807.2415348452223</c:v>
                </c:pt>
                <c:pt idx="13">
                  <c:v>2807.2415348452223</c:v>
                </c:pt>
                <c:pt idx="14">
                  <c:v>2807.2415348452223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07-4F12-8603-3BBD6E87334C}"/>
            </c:ext>
          </c:extLst>
        </c:ser>
        <c:ser>
          <c:idx val="1"/>
          <c:order val="1"/>
          <c:tx>
            <c:strRef>
              <c:f>'Energi per fylke'!$A$5</c:f>
              <c:strCache>
                <c:ptCount val="1"/>
                <c:pt idx="0">
                  <c:v>Nordland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fylke'!$B$3:$P$3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fylke'!$B$5:$P$5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1151.7743941441113</c:v>
                </c:pt>
                <c:pt idx="2">
                  <c:v>1225.3284831305559</c:v>
                </c:pt>
                <c:pt idx="3">
                  <c:v>1225.3284831305559</c:v>
                </c:pt>
                <c:pt idx="4">
                  <c:v>1225.3284831305559</c:v>
                </c:pt>
                <c:pt idx="5">
                  <c:v>1225.3284831305559</c:v>
                </c:pt>
                <c:pt idx="6">
                  <c:v>2112.9065570845555</c:v>
                </c:pt>
                <c:pt idx="7">
                  <c:v>2112.9065570845555</c:v>
                </c:pt>
                <c:pt idx="8">
                  <c:v>2112.9065570845555</c:v>
                </c:pt>
                <c:pt idx="9">
                  <c:v>2112.9065570845555</c:v>
                </c:pt>
                <c:pt idx="10">
                  <c:v>2112.9065570845555</c:v>
                </c:pt>
                <c:pt idx="11">
                  <c:v>2112.9065570845555</c:v>
                </c:pt>
                <c:pt idx="12">
                  <c:v>2112.9065570845555</c:v>
                </c:pt>
                <c:pt idx="13">
                  <c:v>2112.9065570845555</c:v>
                </c:pt>
                <c:pt idx="14">
                  <c:v>2112.9065570845555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07-4F12-8603-3BBD6E87334C}"/>
            </c:ext>
          </c:extLst>
        </c:ser>
        <c:ser>
          <c:idx val="2"/>
          <c:order val="2"/>
          <c:tx>
            <c:strRef>
              <c:f>'Energi per fylke'!$A$6</c:f>
              <c:strCache>
                <c:ptCount val="1"/>
                <c:pt idx="0">
                  <c:v>Rogaland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fylke'!$B$3:$P$3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fylke'!$B$6:$P$6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678.35645722722211</c:v>
                </c:pt>
                <c:pt idx="4">
                  <c:v>678.35645722722211</c:v>
                </c:pt>
                <c:pt idx="5">
                  <c:v>678.35645722722211</c:v>
                </c:pt>
                <c:pt idx="6">
                  <c:v>1079.0202372516667</c:v>
                </c:pt>
                <c:pt idx="7">
                  <c:v>1079.0202372516667</c:v>
                </c:pt>
                <c:pt idx="8">
                  <c:v>1079.0202372516667</c:v>
                </c:pt>
                <c:pt idx="9">
                  <c:v>1079.0202372516667</c:v>
                </c:pt>
                <c:pt idx="10">
                  <c:v>1079.0202372516667</c:v>
                </c:pt>
                <c:pt idx="11">
                  <c:v>1079.0202372516667</c:v>
                </c:pt>
                <c:pt idx="12">
                  <c:v>1079.0202372516667</c:v>
                </c:pt>
                <c:pt idx="13">
                  <c:v>1079.0202372516667</c:v>
                </c:pt>
                <c:pt idx="14">
                  <c:v>1079.0202372516667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07-4F12-8603-3BBD6E87334C}"/>
            </c:ext>
          </c:extLst>
        </c:ser>
        <c:ser>
          <c:idx val="3"/>
          <c:order val="3"/>
          <c:tx>
            <c:strRef>
              <c:f>'Energi per fylke'!$A$7</c:f>
              <c:strCache>
                <c:ptCount val="1"/>
                <c:pt idx="0">
                  <c:v>Troms og Finnmark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fylke'!$B$3:$P$3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fylke'!$B$7:$P$7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461.71165595822225</c:v>
                </c:pt>
                <c:pt idx="5">
                  <c:v>461.71165595822225</c:v>
                </c:pt>
                <c:pt idx="6">
                  <c:v>461.71165595822225</c:v>
                </c:pt>
                <c:pt idx="7">
                  <c:v>461.71165595822225</c:v>
                </c:pt>
                <c:pt idx="8">
                  <c:v>561.11168697422227</c:v>
                </c:pt>
                <c:pt idx="9">
                  <c:v>615.92788054922232</c:v>
                </c:pt>
                <c:pt idx="10">
                  <c:v>615.92788054922232</c:v>
                </c:pt>
                <c:pt idx="11">
                  <c:v>615.92788054922232</c:v>
                </c:pt>
                <c:pt idx="12">
                  <c:v>727.99654296922233</c:v>
                </c:pt>
                <c:pt idx="13">
                  <c:v>727.99654296922233</c:v>
                </c:pt>
                <c:pt idx="14">
                  <c:v>1284.7016550477779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07-4F12-8603-3BBD6E87334C}"/>
            </c:ext>
          </c:extLst>
        </c:ser>
        <c:ser>
          <c:idx val="4"/>
          <c:order val="4"/>
          <c:tx>
            <c:strRef>
              <c:f>'Energi per fylke'!$A$8</c:f>
              <c:strCache>
                <c:ptCount val="1"/>
                <c:pt idx="0">
                  <c:v>Trøndelag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fylke'!$B$3:$P$3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fylke'!$B$8:$P$8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976.74534796800015</c:v>
                </c:pt>
                <c:pt idx="3">
                  <c:v>976.74534796800015</c:v>
                </c:pt>
                <c:pt idx="4">
                  <c:v>976.74534796800015</c:v>
                </c:pt>
                <c:pt idx="5">
                  <c:v>976.74534796800015</c:v>
                </c:pt>
                <c:pt idx="6">
                  <c:v>976.74534796800015</c:v>
                </c:pt>
                <c:pt idx="7">
                  <c:v>976.74534796800015</c:v>
                </c:pt>
                <c:pt idx="8">
                  <c:v>976.74534796800015</c:v>
                </c:pt>
                <c:pt idx="9">
                  <c:v>1089.788520496</c:v>
                </c:pt>
                <c:pt idx="10">
                  <c:v>1089.788520496</c:v>
                </c:pt>
                <c:pt idx="11">
                  <c:v>1089.788520496</c:v>
                </c:pt>
                <c:pt idx="12">
                  <c:v>1089.788520496</c:v>
                </c:pt>
                <c:pt idx="13">
                  <c:v>1089.788520496</c:v>
                </c:pt>
                <c:pt idx="14">
                  <c:v>1089.788520496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307-4F12-8603-3BBD6E87334C}"/>
            </c:ext>
          </c:extLst>
        </c:ser>
        <c:ser>
          <c:idx val="5"/>
          <c:order val="5"/>
          <c:tx>
            <c:strRef>
              <c:f>'Energi per fylke'!$A$9</c:f>
              <c:strCache>
                <c:ptCount val="1"/>
                <c:pt idx="0">
                  <c:v>Møre og Romsdal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fylke'!$B$3:$P$3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fylke'!$B$9:$P$9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346.10101297200004</c:v>
                </c:pt>
                <c:pt idx="3">
                  <c:v>346.10101297200004</c:v>
                </c:pt>
                <c:pt idx="4">
                  <c:v>346.10101297200004</c:v>
                </c:pt>
                <c:pt idx="5">
                  <c:v>731.44651319422223</c:v>
                </c:pt>
                <c:pt idx="6">
                  <c:v>731.44651319422223</c:v>
                </c:pt>
                <c:pt idx="7">
                  <c:v>731.44651319422223</c:v>
                </c:pt>
                <c:pt idx="8">
                  <c:v>731.44651319422223</c:v>
                </c:pt>
                <c:pt idx="9">
                  <c:v>731.44651319422223</c:v>
                </c:pt>
                <c:pt idx="10">
                  <c:v>731.44651319422223</c:v>
                </c:pt>
                <c:pt idx="11">
                  <c:v>731.44651319422223</c:v>
                </c:pt>
                <c:pt idx="12">
                  <c:v>731.44651319422223</c:v>
                </c:pt>
                <c:pt idx="13">
                  <c:v>731.44651319422223</c:v>
                </c:pt>
                <c:pt idx="14">
                  <c:v>731.44651319422223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307-4F12-8603-3BBD6E87334C}"/>
            </c:ext>
          </c:extLst>
        </c:ser>
        <c:ser>
          <c:idx val="6"/>
          <c:order val="6"/>
          <c:tx>
            <c:strRef>
              <c:f>'Energi per fylke'!$A$10</c:f>
              <c:strCache>
                <c:ptCount val="1"/>
                <c:pt idx="0">
                  <c:v>Oslo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fylke'!$B$3:$P$3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fylke'!$B$10:$P$10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273.54911625599999</c:v>
                </c:pt>
                <c:pt idx="4">
                  <c:v>273.54911625599999</c:v>
                </c:pt>
                <c:pt idx="5">
                  <c:v>273.54911625599999</c:v>
                </c:pt>
                <c:pt idx="6">
                  <c:v>273.54911625599999</c:v>
                </c:pt>
                <c:pt idx="7">
                  <c:v>273.54911625599999</c:v>
                </c:pt>
                <c:pt idx="8">
                  <c:v>273.54911625599999</c:v>
                </c:pt>
                <c:pt idx="9">
                  <c:v>273.54911625599999</c:v>
                </c:pt>
                <c:pt idx="10">
                  <c:v>273.54911625599999</c:v>
                </c:pt>
                <c:pt idx="11">
                  <c:v>273.54911625599999</c:v>
                </c:pt>
                <c:pt idx="12">
                  <c:v>273.54911625599999</c:v>
                </c:pt>
                <c:pt idx="13">
                  <c:v>273.54911625599999</c:v>
                </c:pt>
                <c:pt idx="14">
                  <c:v>273.54911625599999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307-4F12-8603-3BBD6E87334C}"/>
            </c:ext>
          </c:extLst>
        </c:ser>
        <c:ser>
          <c:idx val="7"/>
          <c:order val="7"/>
          <c:tx>
            <c:strRef>
              <c:f>'Energi per fylke'!$A$11</c:f>
              <c:strCache>
                <c:ptCount val="1"/>
                <c:pt idx="0">
                  <c:v>Vestfold og Telemark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fylke'!$B$3:$P$3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fylke'!$B$11:$P$11</c:f>
              <c:numCache>
                <c:formatCode>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307-4F12-8603-3BBD6E873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726520"/>
        <c:axId val="814727176"/>
      </c:scatterChart>
      <c:valAx>
        <c:axId val="814726520"/>
        <c:scaling>
          <c:orientation val="minMax"/>
          <c:max val="2035"/>
          <c:min val="202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14727176"/>
        <c:crosses val="autoZero"/>
        <c:crossBetween val="midCat"/>
        <c:majorUnit val="1"/>
      </c:valAx>
      <c:valAx>
        <c:axId val="81472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Hydrogen consumption [ton/year]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14726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/>
              </a:rPr>
              <a:t>Yearly hydrogen consumption NORWAY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'Energi per fylke'!$A$12</c:f>
              <c:strCache>
                <c:ptCount val="1"/>
                <c:pt idx="0">
                  <c:v>NORGE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fylke'!$B$3:$P$3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fylke'!$B$12:$P$12</c:f>
              <c:numCache>
                <c:formatCode>0</c:formatCode>
                <c:ptCount val="15"/>
                <c:pt idx="0">
                  <c:v>0</c:v>
                </c:pt>
                <c:pt idx="1">
                  <c:v>2005.3337851776669</c:v>
                </c:pt>
                <c:pt idx="2">
                  <c:v>3401.7342351041116</c:v>
                </c:pt>
                <c:pt idx="3">
                  <c:v>5600.7336536175553</c:v>
                </c:pt>
                <c:pt idx="4">
                  <c:v>6062.4453095757772</c:v>
                </c:pt>
                <c:pt idx="5">
                  <c:v>6508.5352731966668</c:v>
                </c:pt>
                <c:pt idx="6">
                  <c:v>8442.6209625578886</c:v>
                </c:pt>
                <c:pt idx="7">
                  <c:v>8442.6209625578886</c:v>
                </c:pt>
                <c:pt idx="8">
                  <c:v>8542.0209935738876</c:v>
                </c:pt>
                <c:pt idx="9">
                  <c:v>8709.8803596768885</c:v>
                </c:pt>
                <c:pt idx="10">
                  <c:v>8709.8803596768885</c:v>
                </c:pt>
                <c:pt idx="11">
                  <c:v>8709.8803596768885</c:v>
                </c:pt>
                <c:pt idx="12">
                  <c:v>8821.9490220968873</c:v>
                </c:pt>
                <c:pt idx="13">
                  <c:v>8821.9490220968873</c:v>
                </c:pt>
                <c:pt idx="14">
                  <c:v>9378.6541341754437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C9-47A6-963A-B0153EE36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477512"/>
        <c:axId val="586479808"/>
      </c:scatterChart>
      <c:valAx>
        <c:axId val="586477512"/>
        <c:scaling>
          <c:orientation val="minMax"/>
          <c:max val="2035"/>
          <c:min val="20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6479808"/>
        <c:crosses val="autoZero"/>
        <c:crossBetween val="midCat"/>
        <c:majorUnit val="1"/>
      </c:valAx>
      <c:valAx>
        <c:axId val="58647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Hydrogen consumption [ton/year]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6477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Yearly energy consumption batteries per county municipality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'Energi per fylke'!$A$34</c:f>
              <c:strCache>
                <c:ptCount val="1"/>
                <c:pt idx="0">
                  <c:v>Vestland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fylke'!$B$33:$P$33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fylke'!$B$34:$P$34</c:f>
              <c:numCache>
                <c:formatCode>0.0</c:formatCode>
                <c:ptCount val="15"/>
                <c:pt idx="0" formatCode="General">
                  <c:v>0</c:v>
                </c:pt>
                <c:pt idx="1">
                  <c:v>2.8559430321493502</c:v>
                </c:pt>
                <c:pt idx="2">
                  <c:v>2.8559430321493502</c:v>
                </c:pt>
                <c:pt idx="3">
                  <c:v>9.8773395611546508</c:v>
                </c:pt>
                <c:pt idx="4">
                  <c:v>9.8773395611546508</c:v>
                </c:pt>
                <c:pt idx="5">
                  <c:v>9.8773395611546508</c:v>
                </c:pt>
                <c:pt idx="6">
                  <c:v>10.507778095530302</c:v>
                </c:pt>
                <c:pt idx="7">
                  <c:v>10.507778095530302</c:v>
                </c:pt>
                <c:pt idx="8">
                  <c:v>10.507778095530302</c:v>
                </c:pt>
                <c:pt idx="9">
                  <c:v>10.507778095530302</c:v>
                </c:pt>
                <c:pt idx="10">
                  <c:v>10.507778095530302</c:v>
                </c:pt>
                <c:pt idx="11">
                  <c:v>10.507778095530302</c:v>
                </c:pt>
                <c:pt idx="12">
                  <c:v>10.507778095530302</c:v>
                </c:pt>
                <c:pt idx="13">
                  <c:v>10.507778095530302</c:v>
                </c:pt>
                <c:pt idx="14">
                  <c:v>10.507778095530302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90-40DB-8137-3B4EDE9532BC}"/>
            </c:ext>
          </c:extLst>
        </c:ser>
        <c:ser>
          <c:idx val="1"/>
          <c:order val="1"/>
          <c:tx>
            <c:strRef>
              <c:f>'Energi per fylke'!$A$35</c:f>
              <c:strCache>
                <c:ptCount val="1"/>
                <c:pt idx="0">
                  <c:v>Nordland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fylke'!$B$33:$P$33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fylke'!$B$35:$P$35</c:f>
              <c:numCache>
                <c:formatCode>0.0</c:formatCode>
                <c:ptCount val="15"/>
                <c:pt idx="0" formatCode="General">
                  <c:v>0</c:v>
                </c:pt>
                <c:pt idx="1">
                  <c:v>6.2585285199163998</c:v>
                </c:pt>
                <c:pt idx="2">
                  <c:v>6.2585285199163998</c:v>
                </c:pt>
                <c:pt idx="3">
                  <c:v>6.2585285199163998</c:v>
                </c:pt>
                <c:pt idx="4">
                  <c:v>6.2585285199163998</c:v>
                </c:pt>
                <c:pt idx="5">
                  <c:v>6.2585285199163998</c:v>
                </c:pt>
                <c:pt idx="6">
                  <c:v>6.2585285199163998</c:v>
                </c:pt>
                <c:pt idx="7">
                  <c:v>6.2585285199163998</c:v>
                </c:pt>
                <c:pt idx="8">
                  <c:v>6.2585285199163998</c:v>
                </c:pt>
                <c:pt idx="9">
                  <c:v>6.2585285199163998</c:v>
                </c:pt>
                <c:pt idx="10">
                  <c:v>6.2585285199163998</c:v>
                </c:pt>
                <c:pt idx="11">
                  <c:v>6.2585285199163998</c:v>
                </c:pt>
                <c:pt idx="12">
                  <c:v>6.2585285199163998</c:v>
                </c:pt>
                <c:pt idx="13">
                  <c:v>6.2585285199163998</c:v>
                </c:pt>
                <c:pt idx="14">
                  <c:v>6.2585285199163998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90-40DB-8137-3B4EDE9532BC}"/>
            </c:ext>
          </c:extLst>
        </c:ser>
        <c:ser>
          <c:idx val="2"/>
          <c:order val="2"/>
          <c:tx>
            <c:strRef>
              <c:f>'Energi per fylke'!$A$36</c:f>
              <c:strCache>
                <c:ptCount val="1"/>
                <c:pt idx="0">
                  <c:v>Rogaland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fylke'!$B$33:$P$33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fylke'!$B$36:$P$36</c:f>
              <c:numCache>
                <c:formatCode>0.0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0.81127966490999992</c:v>
                </c:pt>
                <c:pt idx="3">
                  <c:v>7.2852913908917989</c:v>
                </c:pt>
                <c:pt idx="4">
                  <c:v>7.2852913908917989</c:v>
                </c:pt>
                <c:pt idx="5">
                  <c:v>7.2852913908917989</c:v>
                </c:pt>
                <c:pt idx="6">
                  <c:v>7.2852913908917989</c:v>
                </c:pt>
                <c:pt idx="7">
                  <c:v>7.2852913908917989</c:v>
                </c:pt>
                <c:pt idx="8">
                  <c:v>7.2852913908917989</c:v>
                </c:pt>
                <c:pt idx="9">
                  <c:v>7.2852913908917989</c:v>
                </c:pt>
                <c:pt idx="10">
                  <c:v>10.032825189386998</c:v>
                </c:pt>
                <c:pt idx="11">
                  <c:v>10.032825189386998</c:v>
                </c:pt>
                <c:pt idx="12">
                  <c:v>10.032825189386998</c:v>
                </c:pt>
                <c:pt idx="13">
                  <c:v>10.032825189386998</c:v>
                </c:pt>
                <c:pt idx="14">
                  <c:v>10.032825189386998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90-40DB-8137-3B4EDE9532BC}"/>
            </c:ext>
          </c:extLst>
        </c:ser>
        <c:ser>
          <c:idx val="3"/>
          <c:order val="3"/>
          <c:tx>
            <c:strRef>
              <c:f>'Energi per fylke'!$A$37</c:f>
              <c:strCache>
                <c:ptCount val="1"/>
                <c:pt idx="0">
                  <c:v>Troms og Finnmark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fylke'!$B$33:$P$33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fylke'!$B$37:$P$37</c:f>
              <c:numCache>
                <c:formatCode>0.0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7.0019701650742983</c:v>
                </c:pt>
                <c:pt idx="5">
                  <c:v>7.0019701650742983</c:v>
                </c:pt>
                <c:pt idx="6">
                  <c:v>7.0019701650742983</c:v>
                </c:pt>
                <c:pt idx="7">
                  <c:v>7.0019701650742983</c:v>
                </c:pt>
                <c:pt idx="8">
                  <c:v>7.0019701650742983</c:v>
                </c:pt>
                <c:pt idx="9">
                  <c:v>7.4184270597280983</c:v>
                </c:pt>
                <c:pt idx="10">
                  <c:v>7.4184270597280983</c:v>
                </c:pt>
                <c:pt idx="11">
                  <c:v>7.4184270597280983</c:v>
                </c:pt>
                <c:pt idx="12">
                  <c:v>7.4184270597280983</c:v>
                </c:pt>
                <c:pt idx="13">
                  <c:v>7.4184270597280983</c:v>
                </c:pt>
                <c:pt idx="14">
                  <c:v>7.4184270597280983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90-40DB-8137-3B4EDE9532BC}"/>
            </c:ext>
          </c:extLst>
        </c:ser>
        <c:ser>
          <c:idx val="4"/>
          <c:order val="4"/>
          <c:tx>
            <c:strRef>
              <c:f>'Energi per fylke'!$A$38</c:f>
              <c:strCache>
                <c:ptCount val="1"/>
                <c:pt idx="0">
                  <c:v>Trøndelag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fylke'!$B$33:$P$33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fylke'!$B$38:$P$38</c:f>
              <c:numCache>
                <c:formatCode>0.0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3.8579968956788999</c:v>
                </c:pt>
                <c:pt idx="3">
                  <c:v>3.8579968956788999</c:v>
                </c:pt>
                <c:pt idx="4">
                  <c:v>3.8579968956788999</c:v>
                </c:pt>
                <c:pt idx="5">
                  <c:v>3.8579968956788999</c:v>
                </c:pt>
                <c:pt idx="6">
                  <c:v>3.8579968956788999</c:v>
                </c:pt>
                <c:pt idx="7">
                  <c:v>3.8579968956788999</c:v>
                </c:pt>
                <c:pt idx="8">
                  <c:v>3.8579968956788999</c:v>
                </c:pt>
                <c:pt idx="9">
                  <c:v>3.8579968956788999</c:v>
                </c:pt>
                <c:pt idx="10">
                  <c:v>3.8579968956788999</c:v>
                </c:pt>
                <c:pt idx="11">
                  <c:v>3.8579968956788999</c:v>
                </c:pt>
                <c:pt idx="12">
                  <c:v>3.8579968956788999</c:v>
                </c:pt>
                <c:pt idx="13">
                  <c:v>3.8579968956788999</c:v>
                </c:pt>
                <c:pt idx="14">
                  <c:v>3.8579968956788999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90-40DB-8137-3B4EDE9532BC}"/>
            </c:ext>
          </c:extLst>
        </c:ser>
        <c:ser>
          <c:idx val="5"/>
          <c:order val="5"/>
          <c:tx>
            <c:strRef>
              <c:f>'Energi per fylke'!$A$39</c:f>
              <c:strCache>
                <c:ptCount val="1"/>
                <c:pt idx="0">
                  <c:v>Møre og Romsdal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fylke'!$B$33:$P$33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fylke'!$B$39:$P$39</c:f>
              <c:numCache>
                <c:formatCode>0.0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8.6430447960999999</c:v>
                </c:pt>
                <c:pt idx="6">
                  <c:v>8.6430447960999999</c:v>
                </c:pt>
                <c:pt idx="7">
                  <c:v>8.6430447960999999</c:v>
                </c:pt>
                <c:pt idx="8">
                  <c:v>8.6430447960999999</c:v>
                </c:pt>
                <c:pt idx="9">
                  <c:v>8.6430447960999999</c:v>
                </c:pt>
                <c:pt idx="10">
                  <c:v>8.6430447960999999</c:v>
                </c:pt>
                <c:pt idx="11">
                  <c:v>8.6430447960999999</c:v>
                </c:pt>
                <c:pt idx="12">
                  <c:v>8.6430447960999999</c:v>
                </c:pt>
                <c:pt idx="13">
                  <c:v>8.6430447960999999</c:v>
                </c:pt>
                <c:pt idx="14">
                  <c:v>8.6430447960999999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90-40DB-8137-3B4EDE9532BC}"/>
            </c:ext>
          </c:extLst>
        </c:ser>
        <c:ser>
          <c:idx val="6"/>
          <c:order val="6"/>
          <c:tx>
            <c:strRef>
              <c:f>'Energi per fylke'!$A$40</c:f>
              <c:strCache>
                <c:ptCount val="1"/>
                <c:pt idx="0">
                  <c:v>Oslo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fylke'!$B$33:$P$33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fylke'!$B$40:$P$40</c:f>
              <c:numCache>
                <c:formatCode>0.0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590-40DB-8137-3B4EDE9532BC}"/>
            </c:ext>
          </c:extLst>
        </c:ser>
        <c:ser>
          <c:idx val="7"/>
          <c:order val="7"/>
          <c:tx>
            <c:strRef>
              <c:f>'Energi per fylke'!$A$41</c:f>
              <c:strCache>
                <c:ptCount val="1"/>
                <c:pt idx="0">
                  <c:v>Vestfold og Telemark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fylke'!$B$33:$P$33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fylke'!$B$41:$P$41</c:f>
              <c:numCache>
                <c:formatCode>0.0</c:formatCode>
                <c:ptCount val="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1.1925811074177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590-40DB-8137-3B4EDE95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726520"/>
        <c:axId val="814727176"/>
      </c:scatterChart>
      <c:valAx>
        <c:axId val="814726520"/>
        <c:scaling>
          <c:orientation val="minMax"/>
          <c:max val="2035"/>
          <c:min val="202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14727176"/>
        <c:crosses val="autoZero"/>
        <c:crossBetween val="midCat"/>
        <c:majorUnit val="1"/>
      </c:valAx>
      <c:valAx>
        <c:axId val="81472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Energy consumption batteries [GWh/year]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14726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Yearly diesel consumption per county municipality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'Energi per fylke'!$A$49</c:f>
              <c:strCache>
                <c:ptCount val="1"/>
                <c:pt idx="0">
                  <c:v>Vestland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fylke'!$B$48:$P$48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fylke'!$B$49:$P$49</c:f>
              <c:numCache>
                <c:formatCode>0.0</c:formatCode>
                <c:ptCount val="15"/>
                <c:pt idx="0">
                  <c:v>17.238107249999999</c:v>
                </c:pt>
                <c:pt idx="1">
                  <c:v>12.635201800000001</c:v>
                </c:pt>
                <c:pt idx="2">
                  <c:v>12.635201800000001</c:v>
                </c:pt>
                <c:pt idx="3">
                  <c:v>5.1418653000000001</c:v>
                </c:pt>
                <c:pt idx="4">
                  <c:v>5.1418653000000001</c:v>
                </c:pt>
                <c:pt idx="5">
                  <c:v>4.8691070999999999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DB-4792-90AC-9A3E2D4242EE}"/>
            </c:ext>
          </c:extLst>
        </c:ser>
        <c:ser>
          <c:idx val="1"/>
          <c:order val="1"/>
          <c:tx>
            <c:strRef>
              <c:f>'Energi per fylke'!$A$50</c:f>
              <c:strCache>
                <c:ptCount val="1"/>
                <c:pt idx="0">
                  <c:v>Nordland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fylke'!$B$48:$P$48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fylke'!$B$50:$P$50</c:f>
              <c:numCache>
                <c:formatCode>0.0</c:formatCode>
                <c:ptCount val="15"/>
                <c:pt idx="0">
                  <c:v>11.175323249999998</c:v>
                </c:pt>
                <c:pt idx="1">
                  <c:v>4.3157296000000009</c:v>
                </c:pt>
                <c:pt idx="2">
                  <c:v>3.9854529000000003</c:v>
                </c:pt>
                <c:pt idx="3">
                  <c:v>3.9854529000000003</c:v>
                </c:pt>
                <c:pt idx="4">
                  <c:v>3.9854529000000003</c:v>
                </c:pt>
                <c:pt idx="5">
                  <c:v>3.9854529000000003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DB-4792-90AC-9A3E2D4242EE}"/>
            </c:ext>
          </c:extLst>
        </c:ser>
        <c:ser>
          <c:idx val="2"/>
          <c:order val="2"/>
          <c:tx>
            <c:strRef>
              <c:f>'Energi per fylke'!$A$51</c:f>
              <c:strCache>
                <c:ptCount val="1"/>
                <c:pt idx="0">
                  <c:v>Rogaland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fylke'!$B$48:$P$48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fylke'!$B$51:$P$51</c:f>
              <c:numCache>
                <c:formatCode>0.0</c:formatCode>
                <c:ptCount val="15"/>
                <c:pt idx="0">
                  <c:v>5.7516972500000003</c:v>
                </c:pt>
                <c:pt idx="1">
                  <c:v>5.7516972500000003</c:v>
                </c:pt>
                <c:pt idx="2">
                  <c:v>5.5329072500000001</c:v>
                </c:pt>
                <c:pt idx="3">
                  <c:v>0.74096880000000009</c:v>
                </c:pt>
                <c:pt idx="4">
                  <c:v>0.74096880000000009</c:v>
                </c:pt>
                <c:pt idx="5">
                  <c:v>0.74096880000000009</c:v>
                </c:pt>
                <c:pt idx="6">
                  <c:v>0.74096880000000009</c:v>
                </c:pt>
                <c:pt idx="7">
                  <c:v>0.74096880000000009</c:v>
                </c:pt>
                <c:pt idx="8">
                  <c:v>0.74096880000000009</c:v>
                </c:pt>
                <c:pt idx="9">
                  <c:v>0.74096880000000009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DB-4792-90AC-9A3E2D4242EE}"/>
            </c:ext>
          </c:extLst>
        </c:ser>
        <c:ser>
          <c:idx val="3"/>
          <c:order val="3"/>
          <c:tx>
            <c:strRef>
              <c:f>'Energi per fylke'!$A$52</c:f>
              <c:strCache>
                <c:ptCount val="1"/>
                <c:pt idx="0">
                  <c:v>Troms og Finnmark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fylke'!$B$48:$P$48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fylke'!$B$52:$P$52</c:f>
              <c:numCache>
                <c:formatCode>0.0</c:formatCode>
                <c:ptCount val="15"/>
                <c:pt idx="0">
                  <c:v>8.3412784000000002</c:v>
                </c:pt>
                <c:pt idx="1">
                  <c:v>7.7692783999999984</c:v>
                </c:pt>
                <c:pt idx="2">
                  <c:v>7.7692783999999984</c:v>
                </c:pt>
                <c:pt idx="3">
                  <c:v>7.7692783999999984</c:v>
                </c:pt>
                <c:pt idx="4">
                  <c:v>3.8077481000000004</c:v>
                </c:pt>
                <c:pt idx="5">
                  <c:v>3.8077481000000004</c:v>
                </c:pt>
                <c:pt idx="6">
                  <c:v>3.8077481000000004</c:v>
                </c:pt>
                <c:pt idx="7">
                  <c:v>3.8077481000000004</c:v>
                </c:pt>
                <c:pt idx="8">
                  <c:v>3.3614165000000003</c:v>
                </c:pt>
                <c:pt idx="9">
                  <c:v>3.0029655500000003</c:v>
                </c:pt>
                <c:pt idx="10">
                  <c:v>3.0029655500000003</c:v>
                </c:pt>
                <c:pt idx="11">
                  <c:v>3.0029655500000003</c:v>
                </c:pt>
                <c:pt idx="12">
                  <c:v>2.4997485500000001</c:v>
                </c:pt>
                <c:pt idx="13">
                  <c:v>2.4997485500000001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DB-4792-90AC-9A3E2D4242EE}"/>
            </c:ext>
          </c:extLst>
        </c:ser>
        <c:ser>
          <c:idx val="4"/>
          <c:order val="4"/>
          <c:tx>
            <c:strRef>
              <c:f>'Energi per fylke'!$A$53</c:f>
              <c:strCache>
                <c:ptCount val="1"/>
                <c:pt idx="0">
                  <c:v>Trøndelag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fylke'!$B$48:$P$48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fylke'!$B$53:$P$53</c:f>
              <c:numCache>
                <c:formatCode>0.0</c:formatCode>
                <c:ptCount val="15"/>
                <c:pt idx="0">
                  <c:v>7.4879558999999993</c:v>
                </c:pt>
                <c:pt idx="1">
                  <c:v>7.4879558999999993</c:v>
                </c:pt>
                <c:pt idx="2">
                  <c:v>0.50759279999999996</c:v>
                </c:pt>
                <c:pt idx="3">
                  <c:v>0.50759279999999996</c:v>
                </c:pt>
                <c:pt idx="4">
                  <c:v>0.50759279999999996</c:v>
                </c:pt>
                <c:pt idx="5">
                  <c:v>0.50759279999999996</c:v>
                </c:pt>
                <c:pt idx="6">
                  <c:v>0.50759279999999996</c:v>
                </c:pt>
                <c:pt idx="7">
                  <c:v>0.50759279999999996</c:v>
                </c:pt>
                <c:pt idx="8">
                  <c:v>0.50759279999999996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DB-4792-90AC-9A3E2D4242EE}"/>
            </c:ext>
          </c:extLst>
        </c:ser>
        <c:ser>
          <c:idx val="5"/>
          <c:order val="5"/>
          <c:tx>
            <c:strRef>
              <c:f>'Energi per fylke'!$A$54</c:f>
              <c:strCache>
                <c:ptCount val="1"/>
                <c:pt idx="0">
                  <c:v>Møre og Romsdal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fylke'!$B$48:$P$48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fylke'!$B$54:$P$54</c:f>
              <c:numCache>
                <c:formatCode>0.0</c:formatCode>
                <c:ptCount val="15"/>
                <c:pt idx="0">
                  <c:v>4.0612000000000004</c:v>
                </c:pt>
                <c:pt idx="1">
                  <c:v>4.0612000000000004</c:v>
                </c:pt>
                <c:pt idx="2">
                  <c:v>4.0612000000000004</c:v>
                </c:pt>
                <c:pt idx="3">
                  <c:v>4.0612000000000004</c:v>
                </c:pt>
                <c:pt idx="4">
                  <c:v>4.0612000000000004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DB-4792-90AC-9A3E2D4242EE}"/>
            </c:ext>
          </c:extLst>
        </c:ser>
        <c:ser>
          <c:idx val="6"/>
          <c:order val="6"/>
          <c:tx>
            <c:strRef>
              <c:f>'Energi per fylke'!$A$55</c:f>
              <c:strCache>
                <c:ptCount val="1"/>
                <c:pt idx="0">
                  <c:v>Oslo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fylke'!$B$48:$P$48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fylke'!$B$55:$P$55</c:f>
              <c:numCache>
                <c:formatCode>0.0</c:formatCode>
                <c:ptCount val="15"/>
                <c:pt idx="0">
                  <c:v>1.2283056000000001</c:v>
                </c:pt>
                <c:pt idx="1">
                  <c:v>1.2283056000000001</c:v>
                </c:pt>
                <c:pt idx="2">
                  <c:v>1.2283056000000001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DB-4792-90AC-9A3E2D4242EE}"/>
            </c:ext>
          </c:extLst>
        </c:ser>
        <c:ser>
          <c:idx val="7"/>
          <c:order val="7"/>
          <c:tx>
            <c:strRef>
              <c:f>'Energi per fylke'!$A$56</c:f>
              <c:strCache>
                <c:ptCount val="1"/>
                <c:pt idx="0">
                  <c:v>Vestfold og Telemark</c:v>
                </c:pt>
              </c:strCache>
            </c:strRef>
          </c:tx>
          <c:spPr>
            <a:ln w="95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fylke'!$B$48:$P$48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fylke'!$B$56:$P$56</c:f>
              <c:numCache>
                <c:formatCode>0.0</c:formatCode>
                <c:ptCount val="15"/>
                <c:pt idx="0">
                  <c:v>0.3216213</c:v>
                </c:pt>
                <c:pt idx="1">
                  <c:v>0.3216213</c:v>
                </c:pt>
                <c:pt idx="2">
                  <c:v>0.3216213</c:v>
                </c:pt>
                <c:pt idx="3">
                  <c:v>0.3216213</c:v>
                </c:pt>
                <c:pt idx="4">
                  <c:v>0.3216213</c:v>
                </c:pt>
                <c:pt idx="5">
                  <c:v>0.3216213</c:v>
                </c:pt>
                <c:pt idx="6">
                  <c:v>0.3216213</c:v>
                </c:pt>
                <c:pt idx="7">
                  <c:v>0.3216213</c:v>
                </c:pt>
                <c:pt idx="8">
                  <c:v>0.3216213</c:v>
                </c:pt>
                <c:pt idx="9">
                  <c:v>0.3216213</c:v>
                </c:pt>
                <c:pt idx="10">
                  <c:v>0.3216213</c:v>
                </c:pt>
                <c:pt idx="11">
                  <c:v>0.3216213</c:v>
                </c:pt>
                <c:pt idx="12">
                  <c:v>0.3216213</c:v>
                </c:pt>
                <c:pt idx="13">
                  <c:v>0.3216213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DB-4792-90AC-9A3E2D424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726520"/>
        <c:axId val="814727176"/>
      </c:scatterChart>
      <c:valAx>
        <c:axId val="814726520"/>
        <c:scaling>
          <c:orientation val="minMax"/>
          <c:max val="2035"/>
          <c:min val="202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14727176"/>
        <c:crosses val="autoZero"/>
        <c:crossBetween val="midCat"/>
        <c:majorUnit val="1"/>
      </c:valAx>
      <c:valAx>
        <c:axId val="81472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Diesel consumption [million L/year]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14726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Energy to shaft</a:t>
            </a:r>
            <a:r>
              <a:rPr lang="nb-NO" baseline="0"/>
              <a:t> by energy carrier NORWAY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'Energi per fylke'!$A$27</c:f>
              <c:strCache>
                <c:ptCount val="1"/>
                <c:pt idx="0">
                  <c:v>Total Hydrogen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'Energi per fylke'!$B$18:$P$18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'Energi per fylke'!$B$27:$P$27</c:f>
              <c:numCache>
                <c:formatCode>0</c:formatCode>
                <c:ptCount val="15"/>
                <c:pt idx="0">
                  <c:v>0</c:v>
                </c:pt>
                <c:pt idx="1">
                  <c:v>33.388807523208143</c:v>
                </c:pt>
                <c:pt idx="2">
                  <c:v>56.638875014483446</c:v>
                </c:pt>
                <c:pt idx="3">
                  <c:v>93.252215332732277</c:v>
                </c:pt>
                <c:pt idx="4">
                  <c:v>100.93971440443667</c:v>
                </c:pt>
                <c:pt idx="5">
                  <c:v>108.36711229872448</c:v>
                </c:pt>
                <c:pt idx="6">
                  <c:v>140.56963902658882</c:v>
                </c:pt>
                <c:pt idx="7">
                  <c:v>140.56963902658882</c:v>
                </c:pt>
                <c:pt idx="8">
                  <c:v>142.22464954300523</c:v>
                </c:pt>
                <c:pt idx="9">
                  <c:v>145.01950798862015</c:v>
                </c:pt>
                <c:pt idx="10">
                  <c:v>145.01950798862015</c:v>
                </c:pt>
                <c:pt idx="11">
                  <c:v>145.01950798862015</c:v>
                </c:pt>
                <c:pt idx="12">
                  <c:v>146.88545121791316</c:v>
                </c:pt>
                <c:pt idx="13">
                  <c:v>146.88545121791316</c:v>
                </c:pt>
                <c:pt idx="14">
                  <c:v>156.15459133402112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F-45DA-80C5-20AA09EBBB08}"/>
            </c:ext>
          </c:extLst>
        </c:ser>
        <c:ser>
          <c:idx val="1"/>
          <c:order val="1"/>
          <c:tx>
            <c:strRef>
              <c:f>'Energi per fylke'!$A$42</c:f>
              <c:strCache>
                <c:ptCount val="1"/>
                <c:pt idx="0">
                  <c:v>Total Battery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'Energi per fylke'!$B$18:$P$18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'Energi per fylke'!$B$42:$P$42</c:f>
              <c:numCache>
                <c:formatCode>0</c:formatCode>
                <c:ptCount val="15"/>
                <c:pt idx="0">
                  <c:v>0</c:v>
                </c:pt>
                <c:pt idx="1">
                  <c:v>9.1144715520657495</c:v>
                </c:pt>
                <c:pt idx="2">
                  <c:v>13.783748112654649</c:v>
                </c:pt>
                <c:pt idx="3">
                  <c:v>27.279156367641754</c:v>
                </c:pt>
                <c:pt idx="4">
                  <c:v>34.281126532716051</c:v>
                </c:pt>
                <c:pt idx="5">
                  <c:v>42.924171328816051</c:v>
                </c:pt>
                <c:pt idx="6">
                  <c:v>43.5546098631917</c:v>
                </c:pt>
                <c:pt idx="7">
                  <c:v>43.5546098631917</c:v>
                </c:pt>
                <c:pt idx="8">
                  <c:v>43.5546098631917</c:v>
                </c:pt>
                <c:pt idx="9">
                  <c:v>43.971066757845499</c:v>
                </c:pt>
                <c:pt idx="10">
                  <c:v>46.718600556340697</c:v>
                </c:pt>
                <c:pt idx="11">
                  <c:v>46.718600556340697</c:v>
                </c:pt>
                <c:pt idx="12">
                  <c:v>46.718600556340697</c:v>
                </c:pt>
                <c:pt idx="13">
                  <c:v>46.718600556340697</c:v>
                </c:pt>
                <c:pt idx="14">
                  <c:v>47.911181663758398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F-45DA-80C5-20AA09EBBB08}"/>
            </c:ext>
          </c:extLst>
        </c:ser>
        <c:ser>
          <c:idx val="2"/>
          <c:order val="2"/>
          <c:tx>
            <c:strRef>
              <c:f>'Energi per fylke'!$A$72</c:f>
              <c:strCache>
                <c:ptCount val="1"/>
                <c:pt idx="0">
                  <c:v>Total Diesel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'Energi per fylke'!$B$18:$P$18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cat>
          <c:val>
            <c:numRef>
              <c:f>'Energi per fylke'!$B$72:$P$72</c:f>
              <c:numCache>
                <c:formatCode>0</c:formatCode>
                <c:ptCount val="15"/>
                <c:pt idx="0">
                  <c:v>206.18676558577954</c:v>
                </c:pt>
                <c:pt idx="1">
                  <c:v>161.56249392250567</c:v>
                </c:pt>
                <c:pt idx="2">
                  <c:v>133.64314987064142</c:v>
                </c:pt>
                <c:pt idx="3">
                  <c:v>83.534401297405481</c:v>
                </c:pt>
                <c:pt idx="4">
                  <c:v>68.844932060626789</c:v>
                </c:pt>
                <c:pt idx="5">
                  <c:v>52.774489370238996</c:v>
                </c:pt>
                <c:pt idx="6">
                  <c:v>19.941524107999001</c:v>
                </c:pt>
                <c:pt idx="7">
                  <c:v>19.941524107999001</c:v>
                </c:pt>
                <c:pt idx="8">
                  <c:v>18.286513591582597</c:v>
                </c:pt>
                <c:pt idx="9">
                  <c:v>15.07519825131385</c:v>
                </c:pt>
                <c:pt idx="10">
                  <c:v>12.327664452818651</c:v>
                </c:pt>
                <c:pt idx="11">
                  <c:v>12.327664452818651</c:v>
                </c:pt>
                <c:pt idx="12">
                  <c:v>10.46172122352565</c:v>
                </c:pt>
                <c:pt idx="13">
                  <c:v>10.46172122352565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F-45DA-80C5-20AA09EBB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560928"/>
        <c:axId val="907561584"/>
      </c:areaChart>
      <c:catAx>
        <c:axId val="907560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07561584"/>
        <c:crosses val="autoZero"/>
        <c:auto val="1"/>
        <c:lblAlgn val="ctr"/>
        <c:lblOffset val="100"/>
        <c:noMultiLvlLbl val="0"/>
      </c:catAx>
      <c:valAx>
        <c:axId val="907561584"/>
        <c:scaling>
          <c:orientation val="minMax"/>
          <c:max val="20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Energy to shaft [GWh/year]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07560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/>
              </a:rPr>
              <a:t>Yearly energy consumption batteries NORWAY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'Energi per fylke'!$A$42</c:f>
              <c:strCache>
                <c:ptCount val="1"/>
                <c:pt idx="0">
                  <c:v>Total Battery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fylke'!$B$33:$P$33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fylke'!$B$42:$P$42</c:f>
              <c:numCache>
                <c:formatCode>0</c:formatCode>
                <c:ptCount val="15"/>
                <c:pt idx="0">
                  <c:v>0</c:v>
                </c:pt>
                <c:pt idx="1">
                  <c:v>9.1144715520657495</c:v>
                </c:pt>
                <c:pt idx="2">
                  <c:v>13.783748112654649</c:v>
                </c:pt>
                <c:pt idx="3">
                  <c:v>27.279156367641754</c:v>
                </c:pt>
                <c:pt idx="4">
                  <c:v>34.281126532716051</c:v>
                </c:pt>
                <c:pt idx="5">
                  <c:v>42.924171328816051</c:v>
                </c:pt>
                <c:pt idx="6">
                  <c:v>43.5546098631917</c:v>
                </c:pt>
                <c:pt idx="7">
                  <c:v>43.5546098631917</c:v>
                </c:pt>
                <c:pt idx="8">
                  <c:v>43.5546098631917</c:v>
                </c:pt>
                <c:pt idx="9">
                  <c:v>43.971066757845499</c:v>
                </c:pt>
                <c:pt idx="10">
                  <c:v>46.718600556340697</c:v>
                </c:pt>
                <c:pt idx="11">
                  <c:v>46.718600556340697</c:v>
                </c:pt>
                <c:pt idx="12">
                  <c:v>46.718600556340697</c:v>
                </c:pt>
                <c:pt idx="13">
                  <c:v>46.718600556340697</c:v>
                </c:pt>
                <c:pt idx="14">
                  <c:v>47.911181663758398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4F-41C2-97C3-9469F630B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477512"/>
        <c:axId val="586479808"/>
      </c:scatterChart>
      <c:valAx>
        <c:axId val="586477512"/>
        <c:scaling>
          <c:orientation val="minMax"/>
          <c:max val="2035"/>
          <c:min val="20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6479808"/>
        <c:crosses val="autoZero"/>
        <c:crossBetween val="midCat"/>
        <c:majorUnit val="1"/>
      </c:valAx>
      <c:valAx>
        <c:axId val="58647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Energy consumption [GWh/year]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6477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/>
              </a:rPr>
              <a:t>Yearly diesel consumption NORWAY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'Energi per fylke'!$A$57</c:f>
              <c:strCache>
                <c:ptCount val="1"/>
                <c:pt idx="0">
                  <c:v>NORGE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'Energi per fylke'!$B$48:$P$48</c:f>
              <c:numCache>
                <c:formatCode>General</c:formatCode>
                <c:ptCount val="1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</c:numCache>
            </c:numRef>
          </c:xVal>
          <c:yVal>
            <c:numRef>
              <c:f>'Energi per fylke'!$B$57:$P$57</c:f>
              <c:numCache>
                <c:formatCode>0</c:formatCode>
                <c:ptCount val="15"/>
                <c:pt idx="0">
                  <c:v>55.605488949999987</c:v>
                </c:pt>
                <c:pt idx="1">
                  <c:v>43.570989849999997</c:v>
                </c:pt>
                <c:pt idx="2">
                  <c:v>36.041560050000001</c:v>
                </c:pt>
                <c:pt idx="3">
                  <c:v>22.527979500000001</c:v>
                </c:pt>
                <c:pt idx="4">
                  <c:v>18.566449200000005</c:v>
                </c:pt>
                <c:pt idx="5">
                  <c:v>14.232491000000001</c:v>
                </c:pt>
                <c:pt idx="6">
                  <c:v>5.3779310000000011</c:v>
                </c:pt>
                <c:pt idx="7">
                  <c:v>5.3779310000000011</c:v>
                </c:pt>
                <c:pt idx="8">
                  <c:v>4.9315994000000005</c:v>
                </c:pt>
                <c:pt idx="9">
                  <c:v>4.0655556500000003</c:v>
                </c:pt>
                <c:pt idx="10">
                  <c:v>3.3245868500000002</c:v>
                </c:pt>
                <c:pt idx="11">
                  <c:v>3.3245868500000002</c:v>
                </c:pt>
                <c:pt idx="12">
                  <c:v>2.82136985</c:v>
                </c:pt>
                <c:pt idx="13">
                  <c:v>2.82136985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7B-4F1C-8E38-1D27BF8BB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477512"/>
        <c:axId val="586479808"/>
      </c:scatterChart>
      <c:valAx>
        <c:axId val="586477512"/>
        <c:scaling>
          <c:orientation val="minMax"/>
          <c:max val="2035"/>
          <c:min val="202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6479808"/>
        <c:crosses val="autoZero"/>
        <c:crossBetween val="midCat"/>
        <c:majorUnit val="1"/>
      </c:valAx>
      <c:valAx>
        <c:axId val="58647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Diesel consumption [million L/year]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6477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</xdr:row>
      <xdr:rowOff>76200</xdr:rowOff>
    </xdr:from>
    <xdr:to>
      <xdr:col>7</xdr:col>
      <xdr:colOff>485775</xdr:colOff>
      <xdr:row>29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EB0A20-92FF-4D53-AA45-2CD41526D825}"/>
            </a:ext>
          </a:extLst>
        </xdr:cNvPr>
        <xdr:cNvSpPr txBox="1"/>
      </xdr:nvSpPr>
      <xdr:spPr>
        <a:xfrm>
          <a:off x="514350" y="457200"/>
          <a:ext cx="4238625" cy="519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This dataset was created</a:t>
          </a:r>
          <a:r>
            <a:rPr lang="nb-NO" sz="1100" baseline="0"/>
            <a:t> for the following report:</a:t>
          </a:r>
        </a:p>
        <a:p>
          <a:endParaRPr lang="nb-NO" sz="1100" baseline="0"/>
        </a:p>
        <a:p>
          <a:r>
            <a:rPr lang="nb-NO" sz="1100" b="1" baseline="0"/>
            <a:t>IFE report no:</a:t>
          </a:r>
          <a:r>
            <a:rPr lang="nb-NO" sz="1100" baseline="0"/>
            <a:t>	   IFE/E-2020/003</a:t>
          </a:r>
        </a:p>
        <a:p>
          <a:r>
            <a:rPr lang="nb-NO" sz="1100" b="1" baseline="0"/>
            <a:t>ISSN:</a:t>
          </a:r>
          <a:r>
            <a:rPr lang="nb-NO" sz="1100" baseline="0"/>
            <a:t>	 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2535-6380</a:t>
          </a:r>
        </a:p>
        <a:p>
          <a:r>
            <a:rPr lang="nb-NO" sz="1100" b="1"/>
            <a:t>ISBN:</a:t>
          </a:r>
          <a:r>
            <a:rPr lang="nb-NO" sz="1100"/>
            <a:t>	   978-82-7017-926-8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Publication date: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28.04.2020</a:t>
          </a:r>
          <a:endParaRPr lang="nb-NO">
            <a:effectLst/>
          </a:endParaRPr>
        </a:p>
        <a:p>
          <a:r>
            <a:rPr lang="nb-NO" sz="1100" b="1"/>
            <a:t>Revision</a:t>
          </a:r>
          <a:r>
            <a:rPr lang="nb-NO" sz="1100" b="1" baseline="0"/>
            <a:t> no:</a:t>
          </a:r>
          <a:r>
            <a:rPr lang="nb-NO" sz="1100" baseline="0"/>
            <a:t>	   1</a:t>
          </a:r>
        </a:p>
        <a:p>
          <a:endParaRPr lang="nb-NO" sz="1100" baseline="0"/>
        </a:p>
        <a:p>
          <a:r>
            <a:rPr lang="nb-NO" sz="1100" b="1" baseline="0"/>
            <a:t>Title:      </a:t>
          </a:r>
        </a:p>
        <a:p>
          <a:r>
            <a:rPr lang="nb-NO" sz="1100" baseline="0"/>
            <a:t>Estimation of Energy Demand in the Norwegian high-speed Passenger Ferry Sector Towards 2030</a:t>
          </a:r>
        </a:p>
        <a:p>
          <a:endParaRPr lang="nb-NO" sz="1100" baseline="0"/>
        </a:p>
        <a:p>
          <a:r>
            <a:rPr lang="nb-NO" sz="1100" b="1" baseline="0"/>
            <a:t>Authors:</a:t>
          </a:r>
        </a:p>
        <a:p>
          <a:r>
            <a:rPr lang="nb-NO" sz="1100" baseline="0"/>
            <a:t>Fredrik G. Aarskog</a:t>
          </a:r>
        </a:p>
        <a:p>
          <a:r>
            <a:rPr lang="nb-NO" sz="1100" baseline="0"/>
            <a:t>Janis Danebergs</a:t>
          </a:r>
        </a:p>
        <a:p>
          <a:endParaRPr lang="nb-NO" sz="1100" baseline="0"/>
        </a:p>
        <a:p>
          <a:endParaRPr lang="nb-NO" sz="1100" baseline="0"/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report and this dataset is published here: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https://hdl.handle.net/11250/2653026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541269</xdr:colOff>
      <xdr:row>1</xdr:row>
      <xdr:rowOff>156126</xdr:rowOff>
    </xdr:from>
    <xdr:to>
      <xdr:col>31</xdr:col>
      <xdr:colOff>566116</xdr:colOff>
      <xdr:row>27</xdr:row>
      <xdr:rowOff>48452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96EA33-1E5D-4FDE-B9A7-1241F9A4A9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295274</xdr:colOff>
      <xdr:row>1</xdr:row>
      <xdr:rowOff>33337</xdr:rowOff>
    </xdr:from>
    <xdr:to>
      <xdr:col>28</xdr:col>
      <xdr:colOff>428625</xdr:colOff>
      <xdr:row>15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329B5B-6A17-430A-AAD0-5927922B7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15</xdr:row>
      <xdr:rowOff>90487</xdr:rowOff>
    </xdr:from>
    <xdr:to>
      <xdr:col>28</xdr:col>
      <xdr:colOff>409575</xdr:colOff>
      <xdr:row>28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8B860D-91D7-48E3-A40A-F20CFC6A3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57150</xdr:colOff>
      <xdr:row>28</xdr:row>
      <xdr:rowOff>180975</xdr:rowOff>
    </xdr:from>
    <xdr:to>
      <xdr:col>28</xdr:col>
      <xdr:colOff>523875</xdr:colOff>
      <xdr:row>44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A5317A-35EA-4ACA-8710-F9F61CC63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9525</xdr:colOff>
      <xdr:row>45</xdr:row>
      <xdr:rowOff>57150</xdr:rowOff>
    </xdr:from>
    <xdr:to>
      <xdr:col>28</xdr:col>
      <xdr:colOff>476250</xdr:colOff>
      <xdr:row>60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2B48BD-4FBD-4EB6-BB67-B51C78797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566736</xdr:colOff>
      <xdr:row>61</xdr:row>
      <xdr:rowOff>71437</xdr:rowOff>
    </xdr:from>
    <xdr:to>
      <xdr:col>28</xdr:col>
      <xdr:colOff>257175</xdr:colOff>
      <xdr:row>75</xdr:row>
      <xdr:rowOff>147637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E847CE-C534-46F9-8116-ABE039489D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515471</xdr:colOff>
      <xdr:row>76</xdr:row>
      <xdr:rowOff>100853</xdr:rowOff>
    </xdr:from>
    <xdr:to>
      <xdr:col>28</xdr:col>
      <xdr:colOff>5603</xdr:colOff>
      <xdr:row>91</xdr:row>
      <xdr:rowOff>112059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9EC777B-9109-4E4D-9E7B-680B7D19C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92</xdr:row>
      <xdr:rowOff>0</xdr:rowOff>
    </xdr:from>
    <xdr:to>
      <xdr:col>28</xdr:col>
      <xdr:colOff>95250</xdr:colOff>
      <xdr:row>107</xdr:row>
      <xdr:rowOff>11206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F79F2B3-2FEB-481E-B060-A1912E1FC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kyss.no/Rutetider-og-kart1/baat-ferje/" TargetMode="External"/><Relationship Id="rId18" Type="http://schemas.openxmlformats.org/officeDocument/2006/relationships/hyperlink" Target="https://reisnordland.no/a/regionale-hurtigbaatruter" TargetMode="External"/><Relationship Id="rId26" Type="http://schemas.openxmlformats.org/officeDocument/2006/relationships/hyperlink" Target="https://reisnordland.no/a/hurtigbaat-soendre-nordland" TargetMode="External"/><Relationship Id="rId39" Type="http://schemas.openxmlformats.org/officeDocument/2006/relationships/hyperlink" Target="https://www.kolumbus.no/ruter/bat/ryfylke/stavanger-fisteroyene-judaberg/" TargetMode="External"/><Relationship Id="rId21" Type="http://schemas.openxmlformats.org/officeDocument/2006/relationships/hyperlink" Target="https://reisnordland.no/a/hurtigbaat-midtre-nordland" TargetMode="External"/><Relationship Id="rId34" Type="http://schemas.openxmlformats.org/officeDocument/2006/relationships/hyperlink" Target="https://ruter.no/reise/rutetabeller-og-linjekart/baat/" TargetMode="External"/><Relationship Id="rId42" Type="http://schemas.openxmlformats.org/officeDocument/2006/relationships/hyperlink" Target="https://www.kringom.no/ekspressbaat.383977.no.html" TargetMode="External"/><Relationship Id="rId47" Type="http://schemas.openxmlformats.org/officeDocument/2006/relationships/hyperlink" Target="https://www.kringom.no/lokalbaat.383976.no.html" TargetMode="External"/><Relationship Id="rId50" Type="http://schemas.openxmlformats.org/officeDocument/2006/relationships/hyperlink" Target="https://www.kringom.no/lokalbaat.383976.no.html" TargetMode="External"/><Relationship Id="rId55" Type="http://schemas.openxmlformats.org/officeDocument/2006/relationships/hyperlink" Target="https://www.tromskortet.no/hurtigbater-i-troms/category2986.html" TargetMode="External"/><Relationship Id="rId63" Type="http://schemas.openxmlformats.org/officeDocument/2006/relationships/hyperlink" Target="https://www.atb.no/batruter/" TargetMode="External"/><Relationship Id="rId68" Type="http://schemas.openxmlformats.org/officeDocument/2006/relationships/hyperlink" Target="https://frammr.no/FRAM/Ruter/Hurtigbaat" TargetMode="External"/><Relationship Id="rId76" Type="http://schemas.openxmlformats.org/officeDocument/2006/relationships/hyperlink" Target="https://reisnordland.no/a/hurtigbaat-soendre-nordland" TargetMode="External"/><Relationship Id="rId7" Type="http://schemas.openxmlformats.org/officeDocument/2006/relationships/hyperlink" Target="https://snelandia.no/Rutetabeller/2016Expressbat" TargetMode="External"/><Relationship Id="rId71" Type="http://schemas.openxmlformats.org/officeDocument/2006/relationships/hyperlink" Target="https://www.kolumbus.no/ruter/bat/ryfylke/" TargetMode="External"/><Relationship Id="rId2" Type="http://schemas.openxmlformats.org/officeDocument/2006/relationships/hyperlink" Target="https://snelandia.no/Rutetabeller/2016Expressbat" TargetMode="External"/><Relationship Id="rId16" Type="http://schemas.openxmlformats.org/officeDocument/2006/relationships/hyperlink" Target="https://reisnordland.no/a/hurtigbaat-soendre-nordland" TargetMode="External"/><Relationship Id="rId29" Type="http://schemas.openxmlformats.org/officeDocument/2006/relationships/hyperlink" Target="https://reisnordland.no/a/hurtigbaat-nordre-nordland" TargetMode="External"/><Relationship Id="rId11" Type="http://schemas.openxmlformats.org/officeDocument/2006/relationships/hyperlink" Target="https://www.skyss.no/Rutetider-og-kart1/baat-ferje/" TargetMode="External"/><Relationship Id="rId24" Type="http://schemas.openxmlformats.org/officeDocument/2006/relationships/hyperlink" Target="https://reisnordland.no/a/hurtigbaat-nordre-nordland" TargetMode="External"/><Relationship Id="rId32" Type="http://schemas.openxmlformats.org/officeDocument/2006/relationships/hyperlink" Target="https://ruter.no/reise/rutetabeller-og-linjekart/baat/" TargetMode="External"/><Relationship Id="rId37" Type="http://schemas.openxmlformats.org/officeDocument/2006/relationships/hyperlink" Target="https://www.kolumbus.no/ruter/bat/rovarfeoy-og-utsira/" TargetMode="External"/><Relationship Id="rId40" Type="http://schemas.openxmlformats.org/officeDocument/2006/relationships/hyperlink" Target="https://www.kringom.no/lokalbaat.383976.no.html" TargetMode="External"/><Relationship Id="rId45" Type="http://schemas.openxmlformats.org/officeDocument/2006/relationships/hyperlink" Target="https://www.kringom.no/ferjer.383978.no.html" TargetMode="External"/><Relationship Id="rId53" Type="http://schemas.openxmlformats.org/officeDocument/2006/relationships/hyperlink" Target="https://www.tromskortet.no/hurtigbater-i-troms/category2986.html" TargetMode="External"/><Relationship Id="rId58" Type="http://schemas.openxmlformats.org/officeDocument/2006/relationships/hyperlink" Target="https://www.tromskortet.no/hurtigbater-i-troms/category2986.html" TargetMode="External"/><Relationship Id="rId66" Type="http://schemas.openxmlformats.org/officeDocument/2006/relationships/hyperlink" Target="https://reisnordland.no/a/hurtigbaat-soendre-nordland" TargetMode="External"/><Relationship Id="rId74" Type="http://schemas.openxmlformats.org/officeDocument/2006/relationships/hyperlink" Target="https://frammr.no/FRAM/Ruter/Hurtigbaat" TargetMode="External"/><Relationship Id="rId79" Type="http://schemas.openxmlformats.org/officeDocument/2006/relationships/hyperlink" Target="https://frammr.no/FRAM/Ruter/Hurtigbaat" TargetMode="External"/><Relationship Id="rId5" Type="http://schemas.openxmlformats.org/officeDocument/2006/relationships/hyperlink" Target="https://snelandia.no/Rutetabeller/2016Expressbat" TargetMode="External"/><Relationship Id="rId61" Type="http://schemas.openxmlformats.org/officeDocument/2006/relationships/hyperlink" Target="https://www.atb.no/batruter/" TargetMode="External"/><Relationship Id="rId10" Type="http://schemas.openxmlformats.org/officeDocument/2006/relationships/hyperlink" Target="https://www.skyss.no/Rutetider-og-kart1/baat-ferje/" TargetMode="External"/><Relationship Id="rId19" Type="http://schemas.openxmlformats.org/officeDocument/2006/relationships/hyperlink" Target="https://reisnordland.no/a/regionale-hurtigbaatruter" TargetMode="External"/><Relationship Id="rId31" Type="http://schemas.openxmlformats.org/officeDocument/2006/relationships/hyperlink" Target="https://reisnordland.no/a/hurtigbaat-soendre-nordland" TargetMode="External"/><Relationship Id="rId44" Type="http://schemas.openxmlformats.org/officeDocument/2006/relationships/hyperlink" Target="https://www.kringom.no/lokalbaat.383976.no.html" TargetMode="External"/><Relationship Id="rId52" Type="http://schemas.openxmlformats.org/officeDocument/2006/relationships/hyperlink" Target="https://www.kringom.no/lokalbaat.383976.no.html" TargetMode="External"/><Relationship Id="rId60" Type="http://schemas.openxmlformats.org/officeDocument/2006/relationships/hyperlink" Target="https://www.atb.no/batruter/" TargetMode="External"/><Relationship Id="rId65" Type="http://schemas.openxmlformats.org/officeDocument/2006/relationships/hyperlink" Target="https://frammr.no/FRAM/Ruter/Hurtigbaat" TargetMode="External"/><Relationship Id="rId73" Type="http://schemas.openxmlformats.org/officeDocument/2006/relationships/hyperlink" Target="http://www.tts.no/hurtigbaat-bindal/" TargetMode="External"/><Relationship Id="rId78" Type="http://schemas.openxmlformats.org/officeDocument/2006/relationships/hyperlink" Target="https://www.atb.no/batruter/" TargetMode="External"/><Relationship Id="rId81" Type="http://schemas.openxmlformats.org/officeDocument/2006/relationships/printerSettings" Target="../printerSettings/printerSettings2.bin"/><Relationship Id="rId4" Type="http://schemas.openxmlformats.org/officeDocument/2006/relationships/hyperlink" Target="https://snelandia.no/Rutetabeller/2016Expressbat" TargetMode="External"/><Relationship Id="rId9" Type="http://schemas.openxmlformats.org/officeDocument/2006/relationships/hyperlink" Target="https://www.skyss.no/Rutetider-og-kart1/baat-ferje/" TargetMode="External"/><Relationship Id="rId14" Type="http://schemas.openxmlformats.org/officeDocument/2006/relationships/hyperlink" Target="https://www.skyss.no/Rutetider-og-kart1/baat-ferje/" TargetMode="External"/><Relationship Id="rId22" Type="http://schemas.openxmlformats.org/officeDocument/2006/relationships/hyperlink" Target="http://www.lovundskyss.no/rute-18-585-batrute-i-tysfjord" TargetMode="External"/><Relationship Id="rId27" Type="http://schemas.openxmlformats.org/officeDocument/2006/relationships/hyperlink" Target="https://reisnordland.no/a/hurtigbaat-soendre-nordland" TargetMode="External"/><Relationship Id="rId30" Type="http://schemas.openxmlformats.org/officeDocument/2006/relationships/hyperlink" Target="https://reisnordland.no/a/hurtigbaat-midtre-nordland" TargetMode="External"/><Relationship Id="rId35" Type="http://schemas.openxmlformats.org/officeDocument/2006/relationships/hyperlink" Target="https://ruter.no/reise/rutetabeller-og-linjekart/baat/" TargetMode="External"/><Relationship Id="rId43" Type="http://schemas.openxmlformats.org/officeDocument/2006/relationships/hyperlink" Target="https://www.kringom.no/ekspressbaat.383977.no.html" TargetMode="External"/><Relationship Id="rId48" Type="http://schemas.openxmlformats.org/officeDocument/2006/relationships/hyperlink" Target="https://www.kringom.no/lokalbaat.383976.no.html" TargetMode="External"/><Relationship Id="rId56" Type="http://schemas.openxmlformats.org/officeDocument/2006/relationships/hyperlink" Target="https://www.tromskortet.no/hurtigbater-i-troms/category2986.html" TargetMode="External"/><Relationship Id="rId64" Type="http://schemas.openxmlformats.org/officeDocument/2006/relationships/hyperlink" Target="https://www.kolumbus.no/ruter/bat/ryfylke/" TargetMode="External"/><Relationship Id="rId69" Type="http://schemas.openxmlformats.org/officeDocument/2006/relationships/hyperlink" Target="https://www.kolumbus.no/ruter/bat/ryfylke/" TargetMode="External"/><Relationship Id="rId77" Type="http://schemas.openxmlformats.org/officeDocument/2006/relationships/hyperlink" Target="https://www.atb.no/batruter/" TargetMode="External"/><Relationship Id="rId8" Type="http://schemas.openxmlformats.org/officeDocument/2006/relationships/hyperlink" Target="https://www.skyss.no/Rutetider-og-kart1/baat-ferje/" TargetMode="External"/><Relationship Id="rId51" Type="http://schemas.openxmlformats.org/officeDocument/2006/relationships/hyperlink" Target="https://www.kringom.no/lokalbaat.383976.no.html" TargetMode="External"/><Relationship Id="rId72" Type="http://schemas.openxmlformats.org/officeDocument/2006/relationships/hyperlink" Target="https://www.kringom.no/?cat=383976" TargetMode="External"/><Relationship Id="rId80" Type="http://schemas.openxmlformats.org/officeDocument/2006/relationships/hyperlink" Target="https://www.kolumbus.no/ruter/bat/rovarfeoy-og-utsira/" TargetMode="External"/><Relationship Id="rId3" Type="http://schemas.openxmlformats.org/officeDocument/2006/relationships/hyperlink" Target="https://snelandia.no/Rutetabeller/2016Expressbat" TargetMode="External"/><Relationship Id="rId12" Type="http://schemas.openxmlformats.org/officeDocument/2006/relationships/hyperlink" Target="https://www.skyss.no/Rutetider-og-kart1/baat-ferje/" TargetMode="External"/><Relationship Id="rId17" Type="http://schemas.openxmlformats.org/officeDocument/2006/relationships/hyperlink" Target="http://www.lovundskyss.no/rute-18-182-regionpendelen" TargetMode="External"/><Relationship Id="rId25" Type="http://schemas.openxmlformats.org/officeDocument/2006/relationships/hyperlink" Target="https://reisnordland.no/a/hurtigbaat-soendre-nordland" TargetMode="External"/><Relationship Id="rId33" Type="http://schemas.openxmlformats.org/officeDocument/2006/relationships/hyperlink" Target="https://ruter.no/reise/rutetabeller-og-linjekart/baat/" TargetMode="External"/><Relationship Id="rId38" Type="http://schemas.openxmlformats.org/officeDocument/2006/relationships/hyperlink" Target="https://www.kolumbus.no/ruter/bat/rovarfeoy-og-utsira/" TargetMode="External"/><Relationship Id="rId46" Type="http://schemas.openxmlformats.org/officeDocument/2006/relationships/hyperlink" Target="https://www.kringom.no/ferjer.383978.no.html" TargetMode="External"/><Relationship Id="rId59" Type="http://schemas.openxmlformats.org/officeDocument/2006/relationships/hyperlink" Target="https://www.atb.no/batruter/" TargetMode="External"/><Relationship Id="rId67" Type="http://schemas.openxmlformats.org/officeDocument/2006/relationships/hyperlink" Target="https://www.kolumbus.no/ruter/bat/ryfylke/" TargetMode="External"/><Relationship Id="rId20" Type="http://schemas.openxmlformats.org/officeDocument/2006/relationships/hyperlink" Target="https://reisnordland.no/a/hurtigbaat-midtre-nordland" TargetMode="External"/><Relationship Id="rId41" Type="http://schemas.openxmlformats.org/officeDocument/2006/relationships/hyperlink" Target="https://www.kringom.no/lokalbaat.383976.no.html" TargetMode="External"/><Relationship Id="rId54" Type="http://schemas.openxmlformats.org/officeDocument/2006/relationships/hyperlink" Target="https://www.tromskortet.no/hurtigbater-i-troms/category2986.html" TargetMode="External"/><Relationship Id="rId62" Type="http://schemas.openxmlformats.org/officeDocument/2006/relationships/hyperlink" Target="https://www.atb.no/batruter/" TargetMode="External"/><Relationship Id="rId70" Type="http://schemas.openxmlformats.org/officeDocument/2006/relationships/hyperlink" Target="https://www.kringom.no/?cat=383976" TargetMode="External"/><Relationship Id="rId75" Type="http://schemas.openxmlformats.org/officeDocument/2006/relationships/hyperlink" Target="http://www.flybaten.no/rutetider/rutetider.html" TargetMode="External"/><Relationship Id="rId1" Type="http://schemas.openxmlformats.org/officeDocument/2006/relationships/hyperlink" Target="https://snelandia.no/Rutetabeller/2016Expressbat" TargetMode="External"/><Relationship Id="rId6" Type="http://schemas.openxmlformats.org/officeDocument/2006/relationships/hyperlink" Target="https://snelandia.no/Rutetabeller/2016Expressbat" TargetMode="External"/><Relationship Id="rId15" Type="http://schemas.openxmlformats.org/officeDocument/2006/relationships/hyperlink" Target="https://reisnordland.no/a/hurtigbaat-nordre-nordland" TargetMode="External"/><Relationship Id="rId23" Type="http://schemas.openxmlformats.org/officeDocument/2006/relationships/hyperlink" Target="https://reisnordland.no/a/hurtigbaat-soendre-nordland" TargetMode="External"/><Relationship Id="rId28" Type="http://schemas.openxmlformats.org/officeDocument/2006/relationships/hyperlink" Target="https://reisnordland.no/a/hurtigbaat-soendre-nordland" TargetMode="External"/><Relationship Id="rId36" Type="http://schemas.openxmlformats.org/officeDocument/2006/relationships/hyperlink" Target="https://www.kolumbus.no/ruter/bat/byoyene/" TargetMode="External"/><Relationship Id="rId49" Type="http://schemas.openxmlformats.org/officeDocument/2006/relationships/hyperlink" Target="https://www.kringom.no/lokalbaat.383976.no.html" TargetMode="External"/><Relationship Id="rId57" Type="http://schemas.openxmlformats.org/officeDocument/2006/relationships/hyperlink" Target="https://www.tromskortet.no/hurtigbater-i-troms/category2986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6A81E-22BD-41D7-B27A-A9A329A6896E}">
  <dimension ref="A1"/>
  <sheetViews>
    <sheetView tabSelected="1" workbookViewId="0">
      <selection activeCell="J20" sqref="J20"/>
    </sheetView>
  </sheetViews>
  <sheetFormatPr defaultRowHeight="14.4" x14ac:dyDescent="0.3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0018-2ECD-41B1-85A4-4C80181D87BA}">
  <sheetPr codeName="Sheet1" filterMode="1"/>
  <dimension ref="A1:AL106"/>
  <sheetViews>
    <sheetView zoomScale="85" zoomScaleNormal="85" workbookViewId="0">
      <pane ySplit="2" topLeftCell="A21" activePane="bottomLeft" state="frozen"/>
      <selection pane="bottomLeft" activeCell="C52" sqref="C52"/>
    </sheetView>
  </sheetViews>
  <sheetFormatPr defaultColWidth="8.88671875" defaultRowHeight="14.4" x14ac:dyDescent="0.3"/>
  <cols>
    <col min="1" max="1" width="42.33203125" bestFit="1" customWidth="1"/>
    <col min="2" max="2" width="7.109375" bestFit="1" customWidth="1"/>
    <col min="3" max="3" width="8" bestFit="1" customWidth="1"/>
    <col min="4" max="4" width="11" bestFit="1" customWidth="1"/>
    <col min="5" max="5" width="10.33203125" bestFit="1" customWidth="1"/>
    <col min="6" max="6" width="11" bestFit="1" customWidth="1"/>
    <col min="7" max="7" width="15.5546875" style="1" bestFit="1" customWidth="1"/>
    <col min="8" max="8" width="10.33203125" style="29" customWidth="1"/>
    <col min="9" max="10" width="15.33203125" customWidth="1"/>
    <col min="11" max="11" width="9.44140625" customWidth="1"/>
    <col min="12" max="12" width="13.109375" bestFit="1" customWidth="1"/>
    <col min="13" max="13" width="13.44140625" style="5" customWidth="1"/>
    <col min="14" max="14" width="16.109375" style="5" customWidth="1"/>
    <col min="15" max="15" width="12.6640625" style="5" customWidth="1"/>
    <col min="16" max="16" width="15.33203125" style="5" customWidth="1"/>
    <col min="17" max="17" width="10.6640625" style="5" customWidth="1"/>
    <col min="18" max="18" width="11.33203125" style="40" customWidth="1"/>
    <col min="19" max="19" width="10.6640625" style="40" customWidth="1"/>
    <col min="20" max="20" width="10.33203125" style="40" customWidth="1"/>
    <col min="21" max="21" width="10" style="40" customWidth="1"/>
    <col min="22" max="22" width="10.88671875" style="5" customWidth="1"/>
    <col min="23" max="23" width="13.109375" customWidth="1"/>
    <col min="24" max="24" width="13.44140625" customWidth="1"/>
    <col min="25" max="25" width="13.6640625" customWidth="1"/>
    <col min="26" max="26" width="9.88671875" customWidth="1"/>
    <col min="27" max="27" width="10.33203125" customWidth="1"/>
    <col min="28" max="29" width="12.6640625" customWidth="1"/>
    <col min="30" max="30" width="31.33203125" customWidth="1"/>
    <col min="31" max="31" width="29.33203125" bestFit="1" customWidth="1"/>
    <col min="32" max="32" width="13.5546875" bestFit="1" customWidth="1"/>
    <col min="33" max="33" width="20" bestFit="1" customWidth="1"/>
    <col min="34" max="34" width="18" bestFit="1" customWidth="1"/>
    <col min="35" max="36" width="16" style="9" customWidth="1"/>
    <col min="37" max="37" width="65.6640625" bestFit="1" customWidth="1"/>
    <col min="38" max="38" width="11.33203125" bestFit="1" customWidth="1"/>
  </cols>
  <sheetData>
    <row r="1" spans="1:38" x14ac:dyDescent="0.3">
      <c r="A1" s="44" t="s">
        <v>394</v>
      </c>
      <c r="B1" s="44"/>
      <c r="C1" s="44"/>
      <c r="D1" s="44"/>
      <c r="E1" s="44"/>
      <c r="F1" s="44"/>
      <c r="G1" s="44"/>
      <c r="H1" s="29">
        <v>0.65</v>
      </c>
      <c r="R1" s="40">
        <v>15</v>
      </c>
      <c r="S1" s="40">
        <v>30</v>
      </c>
      <c r="T1" s="40">
        <v>60</v>
      </c>
      <c r="U1" s="40">
        <v>120</v>
      </c>
      <c r="AA1" s="44" t="s">
        <v>396</v>
      </c>
      <c r="AB1" s="44"/>
      <c r="AC1" s="44"/>
      <c r="AD1" s="44" t="s">
        <v>395</v>
      </c>
      <c r="AE1" s="44"/>
      <c r="AF1" s="44"/>
      <c r="AG1" s="44"/>
      <c r="AH1" s="44"/>
      <c r="AI1" s="44"/>
      <c r="AJ1" s="39"/>
    </row>
    <row r="2" spans="1:38" s="2" customFormat="1" ht="43.2" x14ac:dyDescent="0.3">
      <c r="A2" s="24" t="s">
        <v>198</v>
      </c>
      <c r="B2" s="24" t="s">
        <v>0</v>
      </c>
      <c r="C2" s="24" t="s">
        <v>1</v>
      </c>
      <c r="D2" s="24" t="s">
        <v>398</v>
      </c>
      <c r="E2" s="24" t="s">
        <v>400</v>
      </c>
      <c r="F2" s="24" t="s">
        <v>399</v>
      </c>
      <c r="G2" s="25" t="s">
        <v>382</v>
      </c>
      <c r="H2" s="30" t="s">
        <v>381</v>
      </c>
      <c r="I2" s="24" t="s">
        <v>199</v>
      </c>
      <c r="J2" s="24" t="s">
        <v>200</v>
      </c>
      <c r="K2" s="24" t="s">
        <v>391</v>
      </c>
      <c r="L2" s="24" t="s">
        <v>392</v>
      </c>
      <c r="M2" s="26" t="s">
        <v>386</v>
      </c>
      <c r="N2" s="26" t="s">
        <v>204</v>
      </c>
      <c r="O2" s="26" t="s">
        <v>205</v>
      </c>
      <c r="P2" s="26" t="s">
        <v>423</v>
      </c>
      <c r="Q2" s="26" t="s">
        <v>424</v>
      </c>
      <c r="R2" s="41" t="s">
        <v>401</v>
      </c>
      <c r="S2" s="41" t="s">
        <v>402</v>
      </c>
      <c r="T2" s="41" t="s">
        <v>403</v>
      </c>
      <c r="U2" s="41" t="s">
        <v>404</v>
      </c>
      <c r="V2" s="26" t="s">
        <v>384</v>
      </c>
      <c r="W2" s="24" t="s">
        <v>377</v>
      </c>
      <c r="X2" s="24" t="s">
        <v>385</v>
      </c>
      <c r="Y2" s="24" t="s">
        <v>379</v>
      </c>
      <c r="Z2" s="24" t="s">
        <v>378</v>
      </c>
      <c r="AA2" s="24" t="s">
        <v>201</v>
      </c>
      <c r="AB2" s="24" t="s">
        <v>202</v>
      </c>
      <c r="AC2" s="24" t="s">
        <v>203</v>
      </c>
      <c r="AD2" s="24" t="s">
        <v>206</v>
      </c>
      <c r="AE2" s="24" t="s">
        <v>207</v>
      </c>
      <c r="AF2" s="24" t="s">
        <v>208</v>
      </c>
      <c r="AG2" s="24" t="s">
        <v>209</v>
      </c>
      <c r="AH2" s="24" t="s">
        <v>387</v>
      </c>
      <c r="AI2" s="33" t="s">
        <v>210</v>
      </c>
      <c r="AJ2" s="33" t="s">
        <v>406</v>
      </c>
      <c r="AK2" s="24" t="s">
        <v>211</v>
      </c>
      <c r="AL2" s="24" t="s">
        <v>397</v>
      </c>
    </row>
    <row r="3" spans="1:38" x14ac:dyDescent="0.3">
      <c r="A3" s="10" t="s">
        <v>104</v>
      </c>
      <c r="B3">
        <v>290</v>
      </c>
      <c r="C3">
        <v>35</v>
      </c>
      <c r="D3">
        <v>146</v>
      </c>
      <c r="E3" s="4">
        <f t="shared" ref="E3:E34" si="0">G3/F3</f>
        <v>27.5</v>
      </c>
      <c r="F3">
        <v>193596</v>
      </c>
      <c r="G3" s="1">
        <v>5323890</v>
      </c>
      <c r="H3" s="29">
        <f>$H$1</f>
        <v>0.65</v>
      </c>
      <c r="I3" t="s">
        <v>105</v>
      </c>
      <c r="J3" t="s">
        <v>106</v>
      </c>
      <c r="K3" t="str">
        <f>IF(I3=J3,"Ja","Nei")</f>
        <v>Nei</v>
      </c>
      <c r="L3">
        <f>IF(K3="Ja",2,1)*D3</f>
        <v>146</v>
      </c>
      <c r="M3" s="27">
        <f>L3*E3*H3</f>
        <v>2609.75</v>
      </c>
      <c r="N3" s="27">
        <f>M3*0.845*(42.7/3.6)*0.37</f>
        <v>9677.9352809027787</v>
      </c>
      <c r="O3" s="27">
        <f>N3/0.5/33.3</f>
        <v>581.25737422839518</v>
      </c>
      <c r="P3" s="27">
        <f>N3/0.6</f>
        <v>16129.892134837964</v>
      </c>
      <c r="Q3" s="27">
        <f>P3*8/1000</f>
        <v>129.0391370787037</v>
      </c>
      <c r="R3" s="40">
        <f>$P3/(R$1/60)/1000</f>
        <v>64.519568539351852</v>
      </c>
      <c r="S3" s="40">
        <f>$P3/(S$1/60)/1000</f>
        <v>32.259784269675926</v>
      </c>
      <c r="T3" s="40">
        <f>$P3/(T$1/60)/1000</f>
        <v>16.129892134837963</v>
      </c>
      <c r="U3" s="40">
        <f>$P3/(U$1/60)/1000</f>
        <v>8.0649460674189815</v>
      </c>
      <c r="V3" s="27">
        <f>(0.0952*B3 + 5.8956)</f>
        <v>33.503599999999999</v>
      </c>
      <c r="W3" s="3">
        <f>IF(Y3&lt;&gt;"n/a",0.75*V3,"n/a")</f>
        <v>25.127699999999997</v>
      </c>
      <c r="X3" s="23">
        <f>IF(Y3&lt;&gt;"n/a",Q3/W3,"")</f>
        <v>5.1353341960745995</v>
      </c>
      <c r="Y3" s="3"/>
      <c r="Z3" s="3" t="str">
        <f>_xlfn.IFS(Y3&lt;&gt;"",Y3,W3&gt;Q3,"Batteri",TRUE,"H2")</f>
        <v>H2</v>
      </c>
      <c r="AA3" s="3">
        <f>G3*H3*0.845*11.86*0.37</f>
        <v>12831740.033326497</v>
      </c>
      <c r="AB3" s="3">
        <f>AA3/33.3/0.5</f>
        <v>770675.07707666652</v>
      </c>
      <c r="AC3" s="3">
        <f>AB3/365</f>
        <v>2111.4385673333331</v>
      </c>
      <c r="AD3" t="s">
        <v>212</v>
      </c>
      <c r="AE3" s="8" t="s">
        <v>213</v>
      </c>
      <c r="AF3" t="s">
        <v>214</v>
      </c>
      <c r="AG3" t="s">
        <v>215</v>
      </c>
      <c r="AH3" t="s">
        <v>388</v>
      </c>
      <c r="AI3" s="9">
        <v>44561</v>
      </c>
      <c r="AJ3" s="9">
        <v>44926</v>
      </c>
      <c r="AL3" s="3">
        <f>G3*H3</f>
        <v>3460528.5</v>
      </c>
    </row>
    <row r="4" spans="1:38" x14ac:dyDescent="0.3">
      <c r="A4" s="10" t="s">
        <v>102</v>
      </c>
      <c r="B4">
        <v>290</v>
      </c>
      <c r="C4">
        <v>35</v>
      </c>
      <c r="D4">
        <v>140</v>
      </c>
      <c r="E4" s="4">
        <f t="shared" si="0"/>
        <v>27.5</v>
      </c>
      <c r="F4">
        <v>171360</v>
      </c>
      <c r="G4" s="1">
        <v>4712400</v>
      </c>
      <c r="H4" s="29">
        <f t="shared" ref="H4:H67" si="1">$H$1</f>
        <v>0.65</v>
      </c>
      <c r="I4" t="s">
        <v>105</v>
      </c>
      <c r="J4" t="s">
        <v>107</v>
      </c>
      <c r="K4" t="str">
        <f t="shared" ref="K4:K67" si="2">IF(I4=J4,"Ja","Nei")</f>
        <v>Nei</v>
      </c>
      <c r="L4">
        <f t="shared" ref="L4:L67" si="3">IF(K4="Ja",2,1)*D4</f>
        <v>140</v>
      </c>
      <c r="M4" s="27">
        <f t="shared" ref="M4:M67" si="4">L4*E4*H4</f>
        <v>2502.5</v>
      </c>
      <c r="N4" s="27">
        <f t="shared" ref="N4:N67" si="5">M4*0.845*(42.7/3.6)*0.37</f>
        <v>9280.2119131944437</v>
      </c>
      <c r="O4" s="27">
        <f t="shared" ref="O4:O67" si="6">N4/0.5/33.3</f>
        <v>557.37008487654316</v>
      </c>
      <c r="P4" s="27">
        <f t="shared" ref="P4:P34" si="7">N4/0.6</f>
        <v>15467.019855324073</v>
      </c>
      <c r="Q4" s="27">
        <f t="shared" ref="Q4:Q67" si="8">P4*8/1000</f>
        <v>123.73615884259259</v>
      </c>
      <c r="R4" s="40">
        <f t="shared" ref="R4:U35" si="9">$P4/(R$1/60)/1000</f>
        <v>61.868079421296294</v>
      </c>
      <c r="S4" s="40">
        <f t="shared" si="9"/>
        <v>30.934039710648147</v>
      </c>
      <c r="T4" s="40">
        <f t="shared" si="9"/>
        <v>15.467019855324073</v>
      </c>
      <c r="U4" s="40">
        <f t="shared" si="9"/>
        <v>7.7335099276620367</v>
      </c>
      <c r="V4" s="27">
        <f t="shared" ref="V4:V66" si="10">(0.0952*B4 + 5.8956)</f>
        <v>33.503599999999999</v>
      </c>
      <c r="W4" s="3">
        <f t="shared" ref="W4:W67" si="11">IF(Y4&lt;&gt;"n/a",0.75*V4,"n/a")</f>
        <v>25.127699999999997</v>
      </c>
      <c r="X4" s="23">
        <f t="shared" ref="X4:X67" si="12">IF(Y4&lt;&gt;"n/a",Q4/W4,"")</f>
        <v>4.9242930647290679</v>
      </c>
      <c r="Y4" s="3"/>
      <c r="Z4" s="3" t="str">
        <f t="shared" ref="Z4:Z67" si="13">_xlfn.IFS(Y4&lt;&gt;"",Y4,W4&gt;Q4,"Batteri",TRUE,"H2")</f>
        <v>H2</v>
      </c>
      <c r="AA4" s="3">
        <f t="shared" ref="AA4:AA67" si="14">G4*H4*0.845*11.86*0.37</f>
        <v>11357915.308739997</v>
      </c>
      <c r="AB4" s="3">
        <f t="shared" ref="AB4:AB60" si="15">AA4/33.3/0.5</f>
        <v>682157.07559999987</v>
      </c>
      <c r="AC4" s="3">
        <f t="shared" ref="AC4:AC67" si="16">AB4/365</f>
        <v>1868.9234947945201</v>
      </c>
      <c r="AD4" t="s">
        <v>216</v>
      </c>
      <c r="AE4" s="8" t="s">
        <v>213</v>
      </c>
      <c r="AF4" t="s">
        <v>217</v>
      </c>
      <c r="AG4" t="s">
        <v>215</v>
      </c>
      <c r="AH4" t="s">
        <v>388</v>
      </c>
      <c r="AI4" s="9">
        <v>44926</v>
      </c>
      <c r="AJ4" s="9">
        <v>45657</v>
      </c>
      <c r="AL4" s="3">
        <f t="shared" ref="AL4:AL67" si="17">G4*H4</f>
        <v>3063060</v>
      </c>
    </row>
    <row r="5" spans="1:38" x14ac:dyDescent="0.3">
      <c r="A5" s="10" t="s">
        <v>103</v>
      </c>
      <c r="B5">
        <v>190</v>
      </c>
      <c r="C5">
        <v>35</v>
      </c>
      <c r="D5">
        <v>140</v>
      </c>
      <c r="E5" s="4">
        <f t="shared" si="0"/>
        <v>29.7</v>
      </c>
      <c r="F5">
        <v>71400</v>
      </c>
      <c r="G5" s="1">
        <v>2120580</v>
      </c>
      <c r="H5" s="29">
        <f t="shared" si="1"/>
        <v>0.65</v>
      </c>
      <c r="I5" t="s">
        <v>108</v>
      </c>
      <c r="J5" t="s">
        <v>107</v>
      </c>
      <c r="K5" t="str">
        <f t="shared" si="2"/>
        <v>Nei</v>
      </c>
      <c r="L5">
        <f t="shared" si="3"/>
        <v>140</v>
      </c>
      <c r="M5" s="27">
        <f t="shared" si="4"/>
        <v>2702.7000000000003</v>
      </c>
      <c r="N5" s="27">
        <f t="shared" si="5"/>
        <v>10022.628866250001</v>
      </c>
      <c r="O5" s="27">
        <f t="shared" si="6"/>
        <v>601.9596916666668</v>
      </c>
      <c r="P5" s="27">
        <f t="shared" si="7"/>
        <v>16704.381443750004</v>
      </c>
      <c r="Q5" s="27">
        <f t="shared" si="8"/>
        <v>133.63505155000004</v>
      </c>
      <c r="R5" s="40">
        <f t="shared" si="9"/>
        <v>66.817525775000021</v>
      </c>
      <c r="S5" s="40">
        <f t="shared" si="9"/>
        <v>33.408762887500011</v>
      </c>
      <c r="T5" s="40">
        <f t="shared" si="9"/>
        <v>16.704381443750005</v>
      </c>
      <c r="U5" s="40">
        <f t="shared" si="9"/>
        <v>8.3521907218750027</v>
      </c>
      <c r="V5" s="27">
        <f t="shared" si="10"/>
        <v>23.983600000000003</v>
      </c>
      <c r="W5" s="3">
        <f t="shared" si="11"/>
        <v>17.987700000000004</v>
      </c>
      <c r="X5" s="23">
        <f t="shared" si="12"/>
        <v>7.4292461821133342</v>
      </c>
      <c r="Y5" s="3"/>
      <c r="Z5" s="3" t="str">
        <f t="shared" si="13"/>
        <v>H2</v>
      </c>
      <c r="AA5" s="3">
        <f t="shared" si="14"/>
        <v>5111061.8889329992</v>
      </c>
      <c r="AB5" s="3">
        <f t="shared" si="15"/>
        <v>306970.68401999999</v>
      </c>
      <c r="AC5" s="3">
        <f t="shared" si="16"/>
        <v>841.01557265753422</v>
      </c>
      <c r="AE5" t="s">
        <v>218</v>
      </c>
      <c r="AF5" t="s">
        <v>219</v>
      </c>
      <c r="AG5" t="s">
        <v>215</v>
      </c>
      <c r="AH5" t="s">
        <v>388</v>
      </c>
      <c r="AI5" s="9">
        <v>44926</v>
      </c>
      <c r="AJ5" s="9">
        <v>45657</v>
      </c>
      <c r="AL5" s="3">
        <f t="shared" si="17"/>
        <v>1378377</v>
      </c>
    </row>
    <row r="6" spans="1:38" x14ac:dyDescent="0.3">
      <c r="A6" s="10" t="s">
        <v>100</v>
      </c>
      <c r="B6">
        <v>275</v>
      </c>
      <c r="C6">
        <v>33</v>
      </c>
      <c r="D6">
        <v>95</v>
      </c>
      <c r="E6" s="4">
        <f t="shared" si="0"/>
        <v>19.8</v>
      </c>
      <c r="F6">
        <v>174420</v>
      </c>
      <c r="G6" s="1">
        <v>3453516</v>
      </c>
      <c r="H6" s="29">
        <v>0.9</v>
      </c>
      <c r="I6" t="s">
        <v>109</v>
      </c>
      <c r="J6" t="s">
        <v>110</v>
      </c>
      <c r="K6" t="str">
        <f t="shared" si="2"/>
        <v>Nei</v>
      </c>
      <c r="L6">
        <f t="shared" si="3"/>
        <v>95</v>
      </c>
      <c r="M6" s="27">
        <f t="shared" si="4"/>
        <v>1692.9</v>
      </c>
      <c r="N6" s="27">
        <f t="shared" si="5"/>
        <v>6277.9103887500014</v>
      </c>
      <c r="O6" s="27">
        <f t="shared" si="6"/>
        <v>377.0516750000001</v>
      </c>
      <c r="P6" s="27">
        <f t="shared" si="7"/>
        <v>10463.183981250002</v>
      </c>
      <c r="Q6" s="27">
        <f t="shared" si="8"/>
        <v>83.705471850000009</v>
      </c>
      <c r="R6" s="40">
        <f t="shared" si="9"/>
        <v>41.852735925000005</v>
      </c>
      <c r="S6" s="40">
        <f t="shared" si="9"/>
        <v>20.926367962500002</v>
      </c>
      <c r="T6" s="40">
        <f t="shared" si="9"/>
        <v>10.463183981250001</v>
      </c>
      <c r="U6" s="40">
        <f t="shared" si="9"/>
        <v>5.2315919906250006</v>
      </c>
      <c r="V6" s="27">
        <f t="shared" si="10"/>
        <v>32.075600000000001</v>
      </c>
      <c r="W6" s="3">
        <f t="shared" si="11"/>
        <v>24.056699999999999</v>
      </c>
      <c r="X6" s="23">
        <f t="shared" si="12"/>
        <v>3.4795076569105494</v>
      </c>
      <c r="Y6" s="3"/>
      <c r="Z6" s="3" t="str">
        <f t="shared" si="13"/>
        <v>H2</v>
      </c>
      <c r="AA6" s="3">
        <f t="shared" si="14"/>
        <v>11525163.7319676</v>
      </c>
      <c r="AB6" s="3">
        <f t="shared" si="15"/>
        <v>692202.02594400011</v>
      </c>
      <c r="AC6" s="3">
        <f t="shared" si="16"/>
        <v>1896.4439066958907</v>
      </c>
      <c r="AD6" t="s">
        <v>220</v>
      </c>
      <c r="AE6" s="8" t="s">
        <v>221</v>
      </c>
      <c r="AF6" t="s">
        <v>222</v>
      </c>
      <c r="AG6" t="s">
        <v>215</v>
      </c>
      <c r="AH6" t="s">
        <v>19</v>
      </c>
      <c r="AI6" s="9">
        <v>44561</v>
      </c>
      <c r="AJ6" s="9">
        <v>45291</v>
      </c>
      <c r="AL6" s="3">
        <f t="shared" si="17"/>
        <v>3108164.4</v>
      </c>
    </row>
    <row r="7" spans="1:38" x14ac:dyDescent="0.3">
      <c r="A7" s="10" t="s">
        <v>101</v>
      </c>
      <c r="B7">
        <v>240</v>
      </c>
      <c r="C7">
        <v>35</v>
      </c>
      <c r="D7">
        <v>95</v>
      </c>
      <c r="E7" s="4">
        <f t="shared" si="0"/>
        <v>22</v>
      </c>
      <c r="F7">
        <v>251620</v>
      </c>
      <c r="G7" s="1">
        <v>5535640</v>
      </c>
      <c r="H7" s="29">
        <f t="shared" si="1"/>
        <v>0.65</v>
      </c>
      <c r="I7" t="s">
        <v>111</v>
      </c>
      <c r="J7" t="s">
        <v>105</v>
      </c>
      <c r="K7" t="str">
        <f t="shared" si="2"/>
        <v>Nei</v>
      </c>
      <c r="L7">
        <f t="shared" si="3"/>
        <v>95</v>
      </c>
      <c r="M7" s="27">
        <f t="shared" si="4"/>
        <v>1358.5</v>
      </c>
      <c r="N7" s="27">
        <f t="shared" si="5"/>
        <v>5037.8293243055559</v>
      </c>
      <c r="O7" s="27">
        <f t="shared" si="6"/>
        <v>302.57233179012349</v>
      </c>
      <c r="P7" s="27">
        <f t="shared" si="7"/>
        <v>8396.3822071759278</v>
      </c>
      <c r="Q7" s="27">
        <f t="shared" si="8"/>
        <v>67.171057657407417</v>
      </c>
      <c r="R7" s="40">
        <f t="shared" si="9"/>
        <v>33.585528828703708</v>
      </c>
      <c r="S7" s="40">
        <f t="shared" si="9"/>
        <v>16.792764414351854</v>
      </c>
      <c r="T7" s="40">
        <f t="shared" si="9"/>
        <v>8.3963822071759271</v>
      </c>
      <c r="U7" s="40">
        <f t="shared" si="9"/>
        <v>4.1981911035879635</v>
      </c>
      <c r="V7" s="27">
        <f t="shared" si="10"/>
        <v>28.743600000000001</v>
      </c>
      <c r="W7" s="3">
        <f t="shared" si="11"/>
        <v>21.557700000000001</v>
      </c>
      <c r="X7" s="23">
        <f t="shared" si="12"/>
        <v>3.1158731060088698</v>
      </c>
      <c r="Y7" s="3"/>
      <c r="Z7" s="3" t="str">
        <f t="shared" si="13"/>
        <v>H2</v>
      </c>
      <c r="AA7" s="3">
        <f t="shared" si="14"/>
        <v>13342103.874813998</v>
      </c>
      <c r="AB7" s="3">
        <f t="shared" si="15"/>
        <v>801327.56004888879</v>
      </c>
      <c r="AC7" s="3">
        <f t="shared" si="16"/>
        <v>2195.4179727366818</v>
      </c>
      <c r="AD7" t="s">
        <v>223</v>
      </c>
      <c r="AE7" s="8" t="s">
        <v>224</v>
      </c>
      <c r="AF7">
        <v>2080</v>
      </c>
      <c r="AG7" t="s">
        <v>215</v>
      </c>
      <c r="AH7" t="s">
        <v>388</v>
      </c>
      <c r="AI7" s="9">
        <v>45291</v>
      </c>
      <c r="AJ7" s="9">
        <v>46752</v>
      </c>
      <c r="AL7" s="3">
        <f t="shared" si="17"/>
        <v>3598166</v>
      </c>
    </row>
    <row r="8" spans="1:38" x14ac:dyDescent="0.3">
      <c r="A8" s="10" t="s">
        <v>99</v>
      </c>
      <c r="B8">
        <v>212</v>
      </c>
      <c r="C8">
        <v>34</v>
      </c>
      <c r="D8">
        <v>92</v>
      </c>
      <c r="E8" s="4">
        <f t="shared" si="0"/>
        <v>33</v>
      </c>
      <c r="F8">
        <v>88323</v>
      </c>
      <c r="G8" s="1">
        <v>2914659</v>
      </c>
      <c r="H8" s="29">
        <f t="shared" si="1"/>
        <v>0.65</v>
      </c>
      <c r="I8" t="s">
        <v>112</v>
      </c>
      <c r="J8" t="s">
        <v>113</v>
      </c>
      <c r="K8" t="str">
        <f t="shared" si="2"/>
        <v>Nei</v>
      </c>
      <c r="L8">
        <f t="shared" si="3"/>
        <v>92</v>
      </c>
      <c r="M8" s="27">
        <f t="shared" si="4"/>
        <v>1973.4</v>
      </c>
      <c r="N8" s="27">
        <f t="shared" si="5"/>
        <v>7318.1099658333333</v>
      </c>
      <c r="O8" s="27">
        <f t="shared" si="6"/>
        <v>439.52612407407412</v>
      </c>
      <c r="P8" s="27">
        <f t="shared" si="7"/>
        <v>12196.849943055557</v>
      </c>
      <c r="Q8" s="27">
        <f t="shared" si="8"/>
        <v>97.57479954444446</v>
      </c>
      <c r="R8" s="40">
        <f t="shared" si="9"/>
        <v>48.78739977222223</v>
      </c>
      <c r="S8" s="40">
        <f t="shared" si="9"/>
        <v>24.393699886111115</v>
      </c>
      <c r="T8" s="40">
        <f t="shared" si="9"/>
        <v>12.196849943055557</v>
      </c>
      <c r="U8" s="40">
        <f t="shared" si="9"/>
        <v>6.0984249715277787</v>
      </c>
      <c r="V8" s="27">
        <f t="shared" si="10"/>
        <v>26.078000000000003</v>
      </c>
      <c r="W8" s="3">
        <f t="shared" si="11"/>
        <v>19.558500000000002</v>
      </c>
      <c r="X8" s="23">
        <f t="shared" si="12"/>
        <v>4.9888692662752483</v>
      </c>
      <c r="Y8" s="3"/>
      <c r="Z8" s="3" t="str">
        <f t="shared" si="13"/>
        <v>H2</v>
      </c>
      <c r="AA8" s="3">
        <f t="shared" si="14"/>
        <v>7024966.0631221486</v>
      </c>
      <c r="AB8" s="3">
        <f t="shared" si="15"/>
        <v>421919.88367099996</v>
      </c>
      <c r="AC8" s="3">
        <f t="shared" si="16"/>
        <v>1155.9448867698629</v>
      </c>
      <c r="AD8" t="s">
        <v>225</v>
      </c>
      <c r="AE8" s="8" t="s">
        <v>226</v>
      </c>
      <c r="AF8" t="s">
        <v>227</v>
      </c>
      <c r="AG8" t="s">
        <v>215</v>
      </c>
      <c r="AH8" t="s">
        <v>15</v>
      </c>
      <c r="AI8" s="9">
        <v>46446</v>
      </c>
      <c r="AJ8" s="9">
        <v>46446</v>
      </c>
      <c r="AL8" s="3">
        <f t="shared" si="17"/>
        <v>1894528.35</v>
      </c>
    </row>
    <row r="9" spans="1:38" x14ac:dyDescent="0.3">
      <c r="A9" s="12" t="s">
        <v>98</v>
      </c>
      <c r="B9">
        <v>50</v>
      </c>
      <c r="C9">
        <v>28</v>
      </c>
      <c r="D9">
        <v>90</v>
      </c>
      <c r="E9" s="4">
        <f t="shared" si="0"/>
        <v>8.7999883731069968</v>
      </c>
      <c r="F9">
        <v>34403</v>
      </c>
      <c r="G9" s="1">
        <v>302746</v>
      </c>
      <c r="H9" s="29">
        <f t="shared" si="1"/>
        <v>0.65</v>
      </c>
      <c r="I9" t="s">
        <v>114</v>
      </c>
      <c r="J9" t="s">
        <v>114</v>
      </c>
      <c r="K9" t="str">
        <f t="shared" si="2"/>
        <v>Ja</v>
      </c>
      <c r="L9">
        <f t="shared" si="3"/>
        <v>180</v>
      </c>
      <c r="M9" s="27">
        <f t="shared" si="4"/>
        <v>1029.5986396535188</v>
      </c>
      <c r="N9" s="27">
        <f t="shared" si="5"/>
        <v>3818.1392853232292</v>
      </c>
      <c r="O9" s="27">
        <f t="shared" si="6"/>
        <v>229.31767479418795</v>
      </c>
      <c r="P9" s="27">
        <f t="shared" si="7"/>
        <v>6363.5654755387159</v>
      </c>
      <c r="Q9" s="27">
        <f t="shared" si="8"/>
        <v>50.908523804309723</v>
      </c>
      <c r="R9" s="40">
        <f t="shared" si="9"/>
        <v>25.454261902154862</v>
      </c>
      <c r="S9" s="40">
        <f t="shared" si="9"/>
        <v>12.727130951077431</v>
      </c>
      <c r="T9" s="40">
        <f t="shared" si="9"/>
        <v>6.3635654755387154</v>
      </c>
      <c r="U9" s="40">
        <f t="shared" si="9"/>
        <v>3.1817827377693577</v>
      </c>
      <c r="V9" s="27">
        <f t="shared" si="10"/>
        <v>10.6556</v>
      </c>
      <c r="W9" s="3">
        <f t="shared" si="11"/>
        <v>7.9916999999999998</v>
      </c>
      <c r="X9" s="23">
        <f t="shared" si="12"/>
        <v>6.370174531615266</v>
      </c>
      <c r="Y9" s="3"/>
      <c r="Z9" s="3" t="str">
        <f t="shared" si="13"/>
        <v>H2</v>
      </c>
      <c r="AA9" s="3">
        <f t="shared" si="14"/>
        <v>729684.11596209987</v>
      </c>
      <c r="AB9" s="3">
        <f t="shared" si="15"/>
        <v>43824.871829555552</v>
      </c>
      <c r="AC9" s="3">
        <f t="shared" si="16"/>
        <v>120.06814199878234</v>
      </c>
      <c r="AD9" t="s">
        <v>228</v>
      </c>
      <c r="AE9" s="8" t="s">
        <v>229</v>
      </c>
      <c r="AF9">
        <v>340</v>
      </c>
      <c r="AG9" t="s">
        <v>215</v>
      </c>
      <c r="AH9" t="s">
        <v>389</v>
      </c>
      <c r="AI9" s="9">
        <v>46022</v>
      </c>
      <c r="AJ9" s="9">
        <v>46022</v>
      </c>
      <c r="AK9" t="s">
        <v>230</v>
      </c>
      <c r="AL9" s="3">
        <f t="shared" si="17"/>
        <v>196784.9</v>
      </c>
    </row>
    <row r="10" spans="1:38" x14ac:dyDescent="0.3">
      <c r="A10" s="10" t="s">
        <v>97</v>
      </c>
      <c r="B10">
        <v>212</v>
      </c>
      <c r="C10">
        <v>33</v>
      </c>
      <c r="D10">
        <v>84</v>
      </c>
      <c r="E10" s="4">
        <f t="shared" si="0"/>
        <v>33</v>
      </c>
      <c r="F10">
        <v>38793</v>
      </c>
      <c r="G10" s="1">
        <v>1280169</v>
      </c>
      <c r="H10" s="29">
        <f t="shared" si="1"/>
        <v>0.65</v>
      </c>
      <c r="I10" t="s">
        <v>113</v>
      </c>
      <c r="J10" t="s">
        <v>112</v>
      </c>
      <c r="K10" t="str">
        <f t="shared" si="2"/>
        <v>Nei</v>
      </c>
      <c r="L10">
        <f t="shared" si="3"/>
        <v>84</v>
      </c>
      <c r="M10" s="27">
        <f t="shared" si="4"/>
        <v>1801.8</v>
      </c>
      <c r="N10" s="27">
        <f t="shared" si="5"/>
        <v>6681.7525775000004</v>
      </c>
      <c r="O10" s="27">
        <f t="shared" si="6"/>
        <v>401.30646111111116</v>
      </c>
      <c r="P10" s="27">
        <f t="shared" si="7"/>
        <v>11136.254295833334</v>
      </c>
      <c r="Q10" s="27">
        <f t="shared" si="8"/>
        <v>89.090034366666671</v>
      </c>
      <c r="R10" s="40">
        <f t="shared" si="9"/>
        <v>44.545017183333336</v>
      </c>
      <c r="S10" s="40">
        <f t="shared" si="9"/>
        <v>22.272508591666668</v>
      </c>
      <c r="T10" s="40">
        <f t="shared" si="9"/>
        <v>11.136254295833334</v>
      </c>
      <c r="U10" s="40">
        <f t="shared" si="9"/>
        <v>5.568127147916667</v>
      </c>
      <c r="V10" s="27">
        <f t="shared" si="10"/>
        <v>26.078000000000003</v>
      </c>
      <c r="W10" s="3">
        <f t="shared" si="11"/>
        <v>19.558500000000002</v>
      </c>
      <c r="X10" s="23">
        <f t="shared" si="12"/>
        <v>4.5550545474687043</v>
      </c>
      <c r="Y10" s="3"/>
      <c r="Z10" s="3" t="str">
        <f t="shared" si="13"/>
        <v>H2</v>
      </c>
      <c r="AA10" s="3">
        <f t="shared" si="14"/>
        <v>3085487.4549856498</v>
      </c>
      <c r="AB10" s="3">
        <f t="shared" si="15"/>
        <v>185314.56186099999</v>
      </c>
      <c r="AC10" s="3">
        <f t="shared" si="16"/>
        <v>507.71112838630137</v>
      </c>
      <c r="AD10" t="s">
        <v>393</v>
      </c>
      <c r="AG10" t="s">
        <v>215</v>
      </c>
      <c r="AH10" t="s">
        <v>15</v>
      </c>
      <c r="AI10" s="9">
        <v>46446</v>
      </c>
      <c r="AJ10" s="9">
        <v>46446</v>
      </c>
      <c r="AL10" s="3">
        <f t="shared" si="17"/>
        <v>832109.85</v>
      </c>
    </row>
    <row r="11" spans="1:38" x14ac:dyDescent="0.3">
      <c r="A11" s="10" t="s">
        <v>96</v>
      </c>
      <c r="B11">
        <v>250</v>
      </c>
      <c r="C11">
        <v>35</v>
      </c>
      <c r="D11">
        <v>82</v>
      </c>
      <c r="E11" s="4">
        <f t="shared" si="0"/>
        <v>24.199998741473483</v>
      </c>
      <c r="F11">
        <v>158916</v>
      </c>
      <c r="G11" s="1">
        <v>3845767</v>
      </c>
      <c r="H11" s="29">
        <f t="shared" si="1"/>
        <v>0.65</v>
      </c>
      <c r="I11" t="s">
        <v>115</v>
      </c>
      <c r="J11" t="s">
        <v>116</v>
      </c>
      <c r="K11" t="str">
        <f t="shared" si="2"/>
        <v>Nei</v>
      </c>
      <c r="L11">
        <f t="shared" si="3"/>
        <v>82</v>
      </c>
      <c r="M11" s="27">
        <f t="shared" si="4"/>
        <v>1289.8599329205367</v>
      </c>
      <c r="N11" s="27">
        <f t="shared" si="5"/>
        <v>4783.2861202163249</v>
      </c>
      <c r="O11" s="27">
        <f t="shared" si="6"/>
        <v>287.28445166464417</v>
      </c>
      <c r="P11" s="27">
        <f t="shared" si="7"/>
        <v>7972.1435336938748</v>
      </c>
      <c r="Q11" s="27">
        <f t="shared" si="8"/>
        <v>63.777148269550999</v>
      </c>
      <c r="R11" s="40">
        <f t="shared" si="9"/>
        <v>31.888574134775499</v>
      </c>
      <c r="S11" s="40">
        <f t="shared" si="9"/>
        <v>15.94428706738775</v>
      </c>
      <c r="T11" s="40">
        <f t="shared" si="9"/>
        <v>7.9721435336938749</v>
      </c>
      <c r="U11" s="40">
        <f t="shared" si="9"/>
        <v>3.9860717668469374</v>
      </c>
      <c r="V11" s="27">
        <f t="shared" si="10"/>
        <v>29.695599999999999</v>
      </c>
      <c r="W11" s="3">
        <f t="shared" si="11"/>
        <v>22.271699999999999</v>
      </c>
      <c r="X11" s="23">
        <f t="shared" si="12"/>
        <v>2.8635958759120768</v>
      </c>
      <c r="Y11" s="3"/>
      <c r="Z11" s="3" t="str">
        <f t="shared" si="13"/>
        <v>H2</v>
      </c>
      <c r="AA11" s="3">
        <f t="shared" si="14"/>
        <v>9269140.11610795</v>
      </c>
      <c r="AB11" s="3">
        <f t="shared" si="15"/>
        <v>556705.11207855563</v>
      </c>
      <c r="AC11" s="3">
        <f t="shared" si="16"/>
        <v>1525.2194851467277</v>
      </c>
      <c r="AD11" t="s">
        <v>231</v>
      </c>
      <c r="AE11" s="8" t="s">
        <v>232</v>
      </c>
      <c r="AF11">
        <v>2</v>
      </c>
      <c r="AG11" t="s">
        <v>215</v>
      </c>
      <c r="AH11" t="s">
        <v>389</v>
      </c>
      <c r="AI11" s="9">
        <v>47603</v>
      </c>
      <c r="AJ11" s="9">
        <v>49674</v>
      </c>
      <c r="AL11" s="3">
        <f t="shared" si="17"/>
        <v>2499748.5500000003</v>
      </c>
    </row>
    <row r="12" spans="1:38" x14ac:dyDescent="0.3">
      <c r="A12" s="10" t="s">
        <v>95</v>
      </c>
      <c r="B12">
        <v>48</v>
      </c>
      <c r="C12">
        <v>18</v>
      </c>
      <c r="D12">
        <v>61</v>
      </c>
      <c r="E12" s="4">
        <f t="shared" si="0"/>
        <v>16.500016236402015</v>
      </c>
      <c r="F12">
        <v>30795</v>
      </c>
      <c r="G12" s="1">
        <v>508118</v>
      </c>
      <c r="H12" s="29">
        <f t="shared" si="1"/>
        <v>0.65</v>
      </c>
      <c r="I12" t="s">
        <v>117</v>
      </c>
      <c r="J12" t="s">
        <v>117</v>
      </c>
      <c r="K12" t="str">
        <f t="shared" si="2"/>
        <v>Ja</v>
      </c>
      <c r="L12">
        <f t="shared" si="3"/>
        <v>122</v>
      </c>
      <c r="M12" s="27">
        <f t="shared" si="4"/>
        <v>1308.4512875466799</v>
      </c>
      <c r="N12" s="27">
        <f t="shared" si="5"/>
        <v>4852.229860749374</v>
      </c>
      <c r="O12" s="27">
        <f t="shared" si="6"/>
        <v>291.42521686182431</v>
      </c>
      <c r="P12" s="27">
        <f t="shared" si="7"/>
        <v>8087.0497679156233</v>
      </c>
      <c r="Q12" s="27">
        <f>P12*8/1000</f>
        <v>64.696398143324984</v>
      </c>
      <c r="R12" s="40">
        <f t="shared" si="9"/>
        <v>32.348199071662492</v>
      </c>
      <c r="S12" s="40">
        <f t="shared" si="9"/>
        <v>16.174099535831246</v>
      </c>
      <c r="T12" s="40">
        <f t="shared" si="9"/>
        <v>8.087049767915623</v>
      </c>
      <c r="U12" s="40">
        <f t="shared" si="9"/>
        <v>4.0435248839578115</v>
      </c>
      <c r="V12" s="27">
        <f t="shared" si="10"/>
        <v>10.465199999999999</v>
      </c>
      <c r="W12" s="3">
        <f t="shared" si="11"/>
        <v>7.8488999999999995</v>
      </c>
      <c r="X12" s="23">
        <f t="shared" si="12"/>
        <v>8.2427344141631291</v>
      </c>
      <c r="Y12" s="3"/>
      <c r="Z12" s="3" t="str">
        <f t="shared" si="13"/>
        <v>H2</v>
      </c>
      <c r="AA12" s="3">
        <f t="shared" si="14"/>
        <v>1224675.5816243</v>
      </c>
      <c r="AB12" s="3">
        <f t="shared" si="15"/>
        <v>73554.088986444447</v>
      </c>
      <c r="AC12" s="3">
        <f>AB12/365</f>
        <v>201.51805201765603</v>
      </c>
      <c r="AD12" t="s">
        <v>233</v>
      </c>
      <c r="AE12" s="8" t="s">
        <v>234</v>
      </c>
      <c r="AF12" t="s">
        <v>235</v>
      </c>
      <c r="AG12" t="s">
        <v>215</v>
      </c>
      <c r="AH12" t="s">
        <v>15</v>
      </c>
      <c r="AI12" s="9">
        <v>44255</v>
      </c>
      <c r="AJ12" s="9">
        <v>45291</v>
      </c>
      <c r="AK12" t="s">
        <v>236</v>
      </c>
      <c r="AL12" s="3">
        <f t="shared" si="17"/>
        <v>330276.7</v>
      </c>
    </row>
    <row r="13" spans="1:38" x14ac:dyDescent="0.3">
      <c r="A13" s="10" t="s">
        <v>94</v>
      </c>
      <c r="B13">
        <v>212</v>
      </c>
      <c r="C13">
        <v>33</v>
      </c>
      <c r="D13">
        <v>60</v>
      </c>
      <c r="E13" s="4">
        <f t="shared" si="0"/>
        <v>33</v>
      </c>
      <c r="F13">
        <v>58686</v>
      </c>
      <c r="G13" s="1">
        <v>1936638</v>
      </c>
      <c r="H13" s="29">
        <f t="shared" si="1"/>
        <v>0.65</v>
      </c>
      <c r="I13" t="s">
        <v>113</v>
      </c>
      <c r="J13" t="s">
        <v>118</v>
      </c>
      <c r="K13" t="str">
        <f t="shared" si="2"/>
        <v>Nei</v>
      </c>
      <c r="L13">
        <f t="shared" si="3"/>
        <v>60</v>
      </c>
      <c r="M13" s="27">
        <f t="shared" si="4"/>
        <v>1287</v>
      </c>
      <c r="N13" s="27">
        <f t="shared" si="5"/>
        <v>4772.6804124999999</v>
      </c>
      <c r="O13" s="27">
        <f t="shared" si="6"/>
        <v>286.64747222222223</v>
      </c>
      <c r="P13" s="27">
        <f t="shared" si="7"/>
        <v>7954.4673541666671</v>
      </c>
      <c r="Q13" s="27">
        <f t="shared" si="8"/>
        <v>63.635738833333335</v>
      </c>
      <c r="R13" s="40">
        <f t="shared" si="9"/>
        <v>31.817869416666667</v>
      </c>
      <c r="S13" s="40">
        <f t="shared" si="9"/>
        <v>15.908934708333334</v>
      </c>
      <c r="T13" s="40">
        <f t="shared" si="9"/>
        <v>7.9544673541666668</v>
      </c>
      <c r="U13" s="40">
        <f t="shared" si="9"/>
        <v>3.9772336770833334</v>
      </c>
      <c r="V13" s="27">
        <f t="shared" si="10"/>
        <v>26.078000000000003</v>
      </c>
      <c r="W13" s="3">
        <f t="shared" si="11"/>
        <v>19.558500000000002</v>
      </c>
      <c r="X13" s="23">
        <f t="shared" si="12"/>
        <v>3.2536103910490746</v>
      </c>
      <c r="Y13" s="3"/>
      <c r="Z13" s="3" t="str">
        <f t="shared" si="13"/>
        <v>H2</v>
      </c>
      <c r="AA13" s="3">
        <f t="shared" si="14"/>
        <v>4667721.413226299</v>
      </c>
      <c r="AB13" s="3">
        <f t="shared" si="15"/>
        <v>280343.62842199998</v>
      </c>
      <c r="AC13" s="3">
        <f t="shared" si="16"/>
        <v>768.06473540273964</v>
      </c>
      <c r="AD13" t="s">
        <v>237</v>
      </c>
      <c r="AE13" s="8" t="s">
        <v>226</v>
      </c>
      <c r="AF13" t="s">
        <v>238</v>
      </c>
      <c r="AG13" t="s">
        <v>215</v>
      </c>
      <c r="AH13" t="s">
        <v>15</v>
      </c>
      <c r="AI13" s="9">
        <v>46446</v>
      </c>
      <c r="AJ13" s="9">
        <v>46446</v>
      </c>
      <c r="AL13" s="3">
        <f t="shared" si="17"/>
        <v>1258814.7</v>
      </c>
    </row>
    <row r="14" spans="1:38" x14ac:dyDescent="0.3">
      <c r="A14" s="10" t="s">
        <v>93</v>
      </c>
      <c r="B14">
        <v>196</v>
      </c>
      <c r="C14">
        <v>28</v>
      </c>
      <c r="D14">
        <v>56</v>
      </c>
      <c r="E14" s="4">
        <f t="shared" si="0"/>
        <v>33</v>
      </c>
      <c r="F14">
        <v>37744</v>
      </c>
      <c r="G14" s="1">
        <v>1245552</v>
      </c>
      <c r="H14" s="29">
        <f t="shared" si="1"/>
        <v>0.65</v>
      </c>
      <c r="I14" t="s">
        <v>112</v>
      </c>
      <c r="J14" t="s">
        <v>112</v>
      </c>
      <c r="K14" t="str">
        <f t="shared" si="2"/>
        <v>Ja</v>
      </c>
      <c r="L14">
        <f t="shared" si="3"/>
        <v>112</v>
      </c>
      <c r="M14" s="27">
        <f t="shared" si="4"/>
        <v>2402.4</v>
      </c>
      <c r="N14" s="27">
        <f t="shared" si="5"/>
        <v>8909.0034366666678</v>
      </c>
      <c r="O14" s="27">
        <f t="shared" si="6"/>
        <v>535.07528148148162</v>
      </c>
      <c r="P14" s="27">
        <f t="shared" si="7"/>
        <v>14848.339061111114</v>
      </c>
      <c r="Q14" s="27">
        <f t="shared" si="8"/>
        <v>118.78671248888891</v>
      </c>
      <c r="R14" s="40">
        <f t="shared" si="9"/>
        <v>59.393356244444455</v>
      </c>
      <c r="S14" s="40">
        <f t="shared" si="9"/>
        <v>29.696678122222227</v>
      </c>
      <c r="T14" s="40">
        <f t="shared" si="9"/>
        <v>14.848339061111114</v>
      </c>
      <c r="U14" s="40">
        <f t="shared" si="9"/>
        <v>7.4241695305555568</v>
      </c>
      <c r="V14" s="27">
        <f t="shared" si="10"/>
        <v>24.5548</v>
      </c>
      <c r="W14" s="3">
        <f t="shared" si="11"/>
        <v>18.4161</v>
      </c>
      <c r="X14" s="23">
        <f t="shared" si="12"/>
        <v>6.4501557055450887</v>
      </c>
      <c r="Y14" s="3"/>
      <c r="Z14" s="3" t="str">
        <f t="shared" si="13"/>
        <v>H2</v>
      </c>
      <c r="AA14" s="3">
        <f t="shared" si="14"/>
        <v>3002052.9090551999</v>
      </c>
      <c r="AB14" s="3">
        <f t="shared" si="15"/>
        <v>180303.47802133334</v>
      </c>
      <c r="AC14" s="3">
        <f t="shared" si="16"/>
        <v>493.98213156529681</v>
      </c>
      <c r="AD14" t="s">
        <v>168</v>
      </c>
      <c r="AE14" s="8" t="s">
        <v>226</v>
      </c>
      <c r="AF14" t="s">
        <v>239</v>
      </c>
      <c r="AG14" t="s">
        <v>215</v>
      </c>
      <c r="AH14" t="s">
        <v>15</v>
      </c>
      <c r="AI14" s="9">
        <v>44074</v>
      </c>
      <c r="AJ14" s="9">
        <v>44074</v>
      </c>
      <c r="AK14" t="s">
        <v>240</v>
      </c>
      <c r="AL14" s="3">
        <f t="shared" si="17"/>
        <v>809608.8</v>
      </c>
    </row>
    <row r="15" spans="1:38" x14ac:dyDescent="0.3">
      <c r="A15" s="10" t="s">
        <v>92</v>
      </c>
      <c r="B15">
        <v>97</v>
      </c>
      <c r="C15">
        <v>25</v>
      </c>
      <c r="D15">
        <v>54.5</v>
      </c>
      <c r="E15" s="4">
        <f t="shared" si="0"/>
        <v>13.2</v>
      </c>
      <c r="F15">
        <v>59160</v>
      </c>
      <c r="G15" s="1">
        <v>780912</v>
      </c>
      <c r="H15" s="29">
        <f t="shared" si="1"/>
        <v>0.65</v>
      </c>
      <c r="I15" t="s">
        <v>119</v>
      </c>
      <c r="J15" t="s">
        <v>120</v>
      </c>
      <c r="K15" t="str">
        <f t="shared" si="2"/>
        <v>Nei</v>
      </c>
      <c r="L15">
        <f t="shared" si="3"/>
        <v>54.5</v>
      </c>
      <c r="M15" s="27">
        <f t="shared" si="4"/>
        <v>467.61</v>
      </c>
      <c r="N15" s="27">
        <f t="shared" si="5"/>
        <v>1734.0738832083334</v>
      </c>
      <c r="O15" s="27">
        <f t="shared" si="6"/>
        <v>104.14858157407409</v>
      </c>
      <c r="P15" s="27">
        <f t="shared" si="7"/>
        <v>2890.1231386805557</v>
      </c>
      <c r="Q15" s="27">
        <f t="shared" si="8"/>
        <v>23.120985109444447</v>
      </c>
      <c r="R15" s="40">
        <f t="shared" si="9"/>
        <v>11.560492554722224</v>
      </c>
      <c r="S15" s="40">
        <f t="shared" si="9"/>
        <v>5.7802462773611119</v>
      </c>
      <c r="T15" s="40">
        <f t="shared" si="9"/>
        <v>2.8901231386805559</v>
      </c>
      <c r="U15" s="40">
        <f t="shared" si="9"/>
        <v>1.445061569340278</v>
      </c>
      <c r="V15" s="27">
        <f t="shared" si="10"/>
        <v>15.13</v>
      </c>
      <c r="W15" s="3">
        <f t="shared" si="11"/>
        <v>11.3475</v>
      </c>
      <c r="X15" s="23">
        <f t="shared" si="12"/>
        <v>2.0375399964260361</v>
      </c>
      <c r="Y15" s="3"/>
      <c r="Z15" s="3" t="str">
        <f t="shared" si="13"/>
        <v>H2</v>
      </c>
      <c r="AA15" s="3">
        <f t="shared" si="14"/>
        <v>1882168.8225911998</v>
      </c>
      <c r="AB15" s="3">
        <f t="shared" si="15"/>
        <v>113043.172528</v>
      </c>
      <c r="AC15" s="3">
        <f t="shared" si="16"/>
        <v>309.70732199452056</v>
      </c>
      <c r="AD15" t="s">
        <v>241</v>
      </c>
      <c r="AE15" s="8" t="s">
        <v>242</v>
      </c>
      <c r="AF15">
        <v>980</v>
      </c>
      <c r="AG15" t="s">
        <v>215</v>
      </c>
      <c r="AH15" t="s">
        <v>19</v>
      </c>
      <c r="AI15" s="9">
        <v>47484</v>
      </c>
      <c r="AJ15" s="9">
        <v>47484</v>
      </c>
      <c r="AL15" s="3">
        <f t="shared" si="17"/>
        <v>507592.8</v>
      </c>
    </row>
    <row r="16" spans="1:38" ht="28.8" x14ac:dyDescent="0.3">
      <c r="A16" s="12" t="s">
        <v>91</v>
      </c>
      <c r="B16">
        <v>85</v>
      </c>
      <c r="C16">
        <v>35</v>
      </c>
      <c r="D16">
        <v>53</v>
      </c>
      <c r="E16" s="4">
        <f t="shared" si="0"/>
        <v>16.5</v>
      </c>
      <c r="F16">
        <v>25432</v>
      </c>
      <c r="G16" s="1">
        <v>419628</v>
      </c>
      <c r="H16" s="29">
        <f t="shared" si="1"/>
        <v>0.65</v>
      </c>
      <c r="I16" t="s">
        <v>121</v>
      </c>
      <c r="J16" t="s">
        <v>122</v>
      </c>
      <c r="K16" t="str">
        <f t="shared" si="2"/>
        <v>Nei</v>
      </c>
      <c r="L16">
        <f t="shared" si="3"/>
        <v>53</v>
      </c>
      <c r="M16" s="27">
        <f t="shared" si="4"/>
        <v>568.42500000000007</v>
      </c>
      <c r="N16" s="27">
        <f t="shared" si="5"/>
        <v>2107.9338488541671</v>
      </c>
      <c r="O16" s="27">
        <f t="shared" si="6"/>
        <v>126.60263356481485</v>
      </c>
      <c r="P16" s="27">
        <f t="shared" si="7"/>
        <v>3513.2230814236118</v>
      </c>
      <c r="Q16" s="27">
        <f t="shared" si="8"/>
        <v>28.105784651388895</v>
      </c>
      <c r="R16" s="40">
        <f t="shared" si="9"/>
        <v>14.052892325694447</v>
      </c>
      <c r="S16" s="40">
        <f t="shared" si="9"/>
        <v>7.0264461628472237</v>
      </c>
      <c r="T16" s="40">
        <f t="shared" si="9"/>
        <v>3.5132230814236118</v>
      </c>
      <c r="U16" s="40">
        <f t="shared" si="9"/>
        <v>1.7566115407118059</v>
      </c>
      <c r="V16" s="27">
        <f t="shared" si="10"/>
        <v>13.9876</v>
      </c>
      <c r="W16" s="3">
        <f t="shared" si="11"/>
        <v>10.4907</v>
      </c>
      <c r="X16" s="23">
        <f t="shared" si="12"/>
        <v>2.6791143252012635</v>
      </c>
      <c r="Y16" s="3"/>
      <c r="Z16" s="3" t="str">
        <f t="shared" si="13"/>
        <v>H2</v>
      </c>
      <c r="AA16" s="3">
        <f t="shared" si="14"/>
        <v>1011395.3155878</v>
      </c>
      <c r="AB16" s="3">
        <f t="shared" si="15"/>
        <v>60744.463398666674</v>
      </c>
      <c r="AC16" s="3">
        <f t="shared" si="16"/>
        <v>166.42318739360732</v>
      </c>
      <c r="AD16" t="s">
        <v>243</v>
      </c>
      <c r="AE16" s="8" t="s">
        <v>224</v>
      </c>
      <c r="AF16">
        <v>2095</v>
      </c>
      <c r="AG16" t="s">
        <v>215</v>
      </c>
      <c r="AH16" t="s">
        <v>388</v>
      </c>
      <c r="AI16" s="9">
        <v>45657</v>
      </c>
      <c r="AJ16" s="9">
        <v>46387</v>
      </c>
      <c r="AK16" t="s">
        <v>244</v>
      </c>
      <c r="AL16" s="3">
        <f t="shared" si="17"/>
        <v>272758.2</v>
      </c>
    </row>
    <row r="17" spans="1:38" x14ac:dyDescent="0.3">
      <c r="A17" s="10" t="s">
        <v>90</v>
      </c>
      <c r="B17">
        <v>125</v>
      </c>
      <c r="C17">
        <v>28</v>
      </c>
      <c r="D17">
        <v>50</v>
      </c>
      <c r="E17" s="4">
        <f t="shared" si="0"/>
        <v>17.600000000000001</v>
      </c>
      <c r="F17">
        <v>50000</v>
      </c>
      <c r="G17" s="1">
        <v>880000</v>
      </c>
      <c r="H17" s="29">
        <f t="shared" si="1"/>
        <v>0.65</v>
      </c>
      <c r="I17" t="s">
        <v>114</v>
      </c>
      <c r="J17" t="s">
        <v>123</v>
      </c>
      <c r="K17" t="str">
        <f t="shared" si="2"/>
        <v>Nei</v>
      </c>
      <c r="L17">
        <f t="shared" si="3"/>
        <v>50</v>
      </c>
      <c r="M17" s="27">
        <f t="shared" si="4"/>
        <v>572.00000000000011</v>
      </c>
      <c r="N17" s="27">
        <f t="shared" si="5"/>
        <v>2121.1912944444452</v>
      </c>
      <c r="O17" s="27">
        <f t="shared" si="6"/>
        <v>127.39887654320994</v>
      </c>
      <c r="P17" s="27">
        <f t="shared" si="7"/>
        <v>3535.3188240740756</v>
      </c>
      <c r="Q17" s="27">
        <f t="shared" si="8"/>
        <v>28.282550592592603</v>
      </c>
      <c r="R17" s="40">
        <f t="shared" si="9"/>
        <v>14.141275296296302</v>
      </c>
      <c r="S17" s="40">
        <f t="shared" si="9"/>
        <v>7.0706376481481508</v>
      </c>
      <c r="T17" s="40">
        <f t="shared" si="9"/>
        <v>3.5353188240740754</v>
      </c>
      <c r="U17" s="40">
        <f t="shared" si="9"/>
        <v>1.7676594120370377</v>
      </c>
      <c r="V17" s="27">
        <f t="shared" si="10"/>
        <v>17.7956</v>
      </c>
      <c r="W17" s="3">
        <f t="shared" si="11"/>
        <v>13.3467</v>
      </c>
      <c r="X17" s="23">
        <f t="shared" si="12"/>
        <v>2.1190669298472735</v>
      </c>
      <c r="Y17" s="3"/>
      <c r="Z17" s="3" t="str">
        <f t="shared" si="13"/>
        <v>H2</v>
      </c>
      <c r="AA17" s="3">
        <f t="shared" si="14"/>
        <v>2120992.588</v>
      </c>
      <c r="AB17" s="3">
        <f t="shared" si="15"/>
        <v>127386.94222222223</v>
      </c>
      <c r="AC17" s="3">
        <f t="shared" si="16"/>
        <v>349.00532115677322</v>
      </c>
      <c r="AD17" t="s">
        <v>245</v>
      </c>
      <c r="AE17" s="8" t="s">
        <v>229</v>
      </c>
      <c r="AF17">
        <v>330</v>
      </c>
      <c r="AG17" t="s">
        <v>215</v>
      </c>
      <c r="AH17" t="s">
        <v>389</v>
      </c>
      <c r="AI17" s="9">
        <v>46022</v>
      </c>
      <c r="AL17" s="3">
        <f t="shared" si="17"/>
        <v>572000</v>
      </c>
    </row>
    <row r="18" spans="1:38" x14ac:dyDescent="0.3">
      <c r="A18" s="10" t="s">
        <v>88</v>
      </c>
      <c r="B18">
        <v>120</v>
      </c>
      <c r="C18">
        <v>27</v>
      </c>
      <c r="D18">
        <v>49</v>
      </c>
      <c r="E18" s="4">
        <f t="shared" si="0"/>
        <v>13.200011574743909</v>
      </c>
      <c r="F18">
        <v>17279</v>
      </c>
      <c r="G18" s="1">
        <v>228083</v>
      </c>
      <c r="H18" s="29">
        <f t="shared" si="1"/>
        <v>0.65</v>
      </c>
      <c r="I18" t="s">
        <v>124</v>
      </c>
      <c r="J18" t="s">
        <v>125</v>
      </c>
      <c r="K18" t="str">
        <f t="shared" si="2"/>
        <v>Nei</v>
      </c>
      <c r="L18">
        <f t="shared" si="3"/>
        <v>49</v>
      </c>
      <c r="M18" s="27">
        <f t="shared" si="4"/>
        <v>420.42036865559351</v>
      </c>
      <c r="N18" s="27">
        <f t="shared" si="5"/>
        <v>1559.0769685303653</v>
      </c>
      <c r="O18" s="27">
        <f t="shared" si="6"/>
        <v>93.638256368190113</v>
      </c>
      <c r="P18" s="27">
        <f t="shared" si="7"/>
        <v>2598.4616142172758</v>
      </c>
      <c r="Q18" s="27">
        <f t="shared" si="8"/>
        <v>20.787692913738205</v>
      </c>
      <c r="R18" s="40">
        <f t="shared" si="9"/>
        <v>10.393846456869102</v>
      </c>
      <c r="S18" s="40">
        <f t="shared" si="9"/>
        <v>5.1969232284345512</v>
      </c>
      <c r="T18" s="40">
        <f t="shared" si="9"/>
        <v>2.5984616142172756</v>
      </c>
      <c r="U18" s="40">
        <f t="shared" si="9"/>
        <v>1.2992308071086378</v>
      </c>
      <c r="V18" s="27">
        <f t="shared" si="10"/>
        <v>17.319600000000001</v>
      </c>
      <c r="W18" s="3">
        <f t="shared" si="11"/>
        <v>12.989700000000001</v>
      </c>
      <c r="X18" s="23">
        <f t="shared" si="12"/>
        <v>1.6003212478916529</v>
      </c>
      <c r="Y18" s="3"/>
      <c r="Z18" s="3" t="str">
        <f t="shared" si="13"/>
        <v>H2</v>
      </c>
      <c r="AA18" s="3">
        <f t="shared" si="14"/>
        <v>549729.94596455002</v>
      </c>
      <c r="AB18" s="3">
        <f t="shared" si="15"/>
        <v>33016.813571444451</v>
      </c>
      <c r="AC18" s="3">
        <f t="shared" si="16"/>
        <v>90.457023483409458</v>
      </c>
      <c r="AD18" t="s">
        <v>88</v>
      </c>
      <c r="AE18" s="8" t="s">
        <v>246</v>
      </c>
      <c r="AF18">
        <v>2085</v>
      </c>
      <c r="AG18" t="s">
        <v>215</v>
      </c>
      <c r="AH18" t="s">
        <v>388</v>
      </c>
      <c r="AI18" s="9">
        <v>45291</v>
      </c>
      <c r="AJ18" s="9">
        <v>46752</v>
      </c>
      <c r="AK18" t="s">
        <v>247</v>
      </c>
      <c r="AL18" s="3">
        <f t="shared" si="17"/>
        <v>148253.95000000001</v>
      </c>
    </row>
    <row r="19" spans="1:38" x14ac:dyDescent="0.3">
      <c r="A19" s="10" t="s">
        <v>89</v>
      </c>
      <c r="B19">
        <v>145</v>
      </c>
      <c r="C19">
        <v>33</v>
      </c>
      <c r="D19">
        <v>49</v>
      </c>
      <c r="E19" s="4">
        <f>G19/F19</f>
        <v>14.299997497309608</v>
      </c>
      <c r="F19">
        <v>79914</v>
      </c>
      <c r="G19" s="1">
        <v>1142770</v>
      </c>
      <c r="H19" s="29">
        <f t="shared" si="1"/>
        <v>0.65</v>
      </c>
      <c r="I19" t="s">
        <v>126</v>
      </c>
      <c r="J19" t="s">
        <v>105</v>
      </c>
      <c r="K19" t="str">
        <f t="shared" si="2"/>
        <v>Nei</v>
      </c>
      <c r="L19">
        <f t="shared" si="3"/>
        <v>49</v>
      </c>
      <c r="M19" s="27">
        <f t="shared" si="4"/>
        <v>455.45492028931102</v>
      </c>
      <c r="N19" s="27">
        <f t="shared" si="5"/>
        <v>1688.9982726041519</v>
      </c>
      <c r="O19" s="27">
        <f t="shared" si="6"/>
        <v>101.44133769394307</v>
      </c>
      <c r="P19" s="27">
        <f t="shared" si="7"/>
        <v>2814.9971210069198</v>
      </c>
      <c r="Q19" s="27">
        <f t="shared" si="8"/>
        <v>22.519976968055357</v>
      </c>
      <c r="R19" s="40">
        <f t="shared" si="9"/>
        <v>11.259988484027678</v>
      </c>
      <c r="S19" s="40">
        <f t="shared" si="9"/>
        <v>5.6299942420138391</v>
      </c>
      <c r="T19" s="40">
        <f t="shared" si="9"/>
        <v>2.8149971210069196</v>
      </c>
      <c r="U19" s="40">
        <f t="shared" si="9"/>
        <v>1.4074985605034598</v>
      </c>
      <c r="V19" s="27">
        <f t="shared" si="10"/>
        <v>19.6996</v>
      </c>
      <c r="W19" s="3">
        <f t="shared" si="11"/>
        <v>14.774699999999999</v>
      </c>
      <c r="X19" s="23">
        <f t="shared" si="12"/>
        <v>1.5242256673946244</v>
      </c>
      <c r="Y19" s="3"/>
      <c r="Z19" s="3" t="str">
        <f t="shared" si="13"/>
        <v>H2</v>
      </c>
      <c r="AA19" s="3">
        <f t="shared" si="14"/>
        <v>2754325.7952144998</v>
      </c>
      <c r="AB19" s="3">
        <f t="shared" si="15"/>
        <v>165424.97268555555</v>
      </c>
      <c r="AC19" s="3">
        <f t="shared" si="16"/>
        <v>453.21910324809738</v>
      </c>
      <c r="AD19" t="s">
        <v>89</v>
      </c>
      <c r="AE19" s="8" t="s">
        <v>246</v>
      </c>
      <c r="AF19">
        <v>2075</v>
      </c>
      <c r="AG19" t="s">
        <v>215</v>
      </c>
      <c r="AH19" t="s">
        <v>388</v>
      </c>
      <c r="AI19" s="9">
        <v>45291</v>
      </c>
      <c r="AJ19" s="9">
        <v>46752</v>
      </c>
      <c r="AL19" s="3">
        <f t="shared" si="17"/>
        <v>742800.5</v>
      </c>
    </row>
    <row r="20" spans="1:38" x14ac:dyDescent="0.3">
      <c r="A20" s="10" t="s">
        <v>87</v>
      </c>
      <c r="B20">
        <v>85</v>
      </c>
      <c r="D20">
        <v>44</v>
      </c>
      <c r="E20" s="4">
        <f t="shared" si="0"/>
        <v>22</v>
      </c>
      <c r="F20">
        <v>134334</v>
      </c>
      <c r="G20" s="1">
        <v>2955348</v>
      </c>
      <c r="H20" s="29">
        <f t="shared" si="1"/>
        <v>0.65</v>
      </c>
      <c r="I20" t="s">
        <v>127</v>
      </c>
      <c r="J20" t="s">
        <v>128</v>
      </c>
      <c r="K20" t="str">
        <f t="shared" si="2"/>
        <v>Nei</v>
      </c>
      <c r="L20">
        <f t="shared" si="3"/>
        <v>44</v>
      </c>
      <c r="M20" s="27">
        <f t="shared" si="4"/>
        <v>629.20000000000005</v>
      </c>
      <c r="N20" s="27">
        <f t="shared" si="5"/>
        <v>2333.3104238888891</v>
      </c>
      <c r="O20" s="27">
        <f t="shared" si="6"/>
        <v>140.13876419753089</v>
      </c>
      <c r="P20" s="27">
        <f t="shared" si="7"/>
        <v>3888.8507064814821</v>
      </c>
      <c r="Q20" s="27">
        <f t="shared" si="8"/>
        <v>31.110805651851855</v>
      </c>
      <c r="R20" s="40">
        <f t="shared" si="9"/>
        <v>15.555402825925928</v>
      </c>
      <c r="S20" s="40">
        <f t="shared" si="9"/>
        <v>7.7777014129629638</v>
      </c>
      <c r="T20" s="40">
        <f t="shared" si="9"/>
        <v>3.8888507064814819</v>
      </c>
      <c r="U20" s="40">
        <f t="shared" si="9"/>
        <v>1.944425353240741</v>
      </c>
      <c r="V20" s="27">
        <f t="shared" si="10"/>
        <v>13.9876</v>
      </c>
      <c r="W20" s="3">
        <f t="shared" si="11"/>
        <v>10.4907</v>
      </c>
      <c r="X20" s="23">
        <f t="shared" si="12"/>
        <v>2.9655605109146057</v>
      </c>
      <c r="Y20" s="3"/>
      <c r="Z20" s="3" t="str">
        <f t="shared" si="13"/>
        <v>H2</v>
      </c>
      <c r="AA20" s="3">
        <f t="shared" si="14"/>
        <v>7123035.4579097992</v>
      </c>
      <c r="AB20" s="3">
        <f t="shared" si="15"/>
        <v>427809.93741199997</v>
      </c>
      <c r="AC20" s="3">
        <f t="shared" si="16"/>
        <v>1172.0820203068492</v>
      </c>
      <c r="AD20" t="s">
        <v>248</v>
      </c>
      <c r="AE20" s="8" t="s">
        <v>249</v>
      </c>
      <c r="AF20" t="s">
        <v>250</v>
      </c>
      <c r="AG20" t="s">
        <v>215</v>
      </c>
      <c r="AH20" t="s">
        <v>11</v>
      </c>
      <c r="AI20" s="9">
        <v>44561</v>
      </c>
      <c r="AJ20" s="9">
        <v>45657</v>
      </c>
      <c r="AK20" t="s">
        <v>251</v>
      </c>
      <c r="AL20" s="3">
        <f t="shared" si="17"/>
        <v>1920976.2</v>
      </c>
    </row>
    <row r="21" spans="1:38" x14ac:dyDescent="0.3">
      <c r="A21" s="10" t="s">
        <v>86</v>
      </c>
      <c r="B21">
        <v>147</v>
      </c>
      <c r="C21">
        <v>30</v>
      </c>
      <c r="D21">
        <v>43</v>
      </c>
      <c r="E21" s="4">
        <f t="shared" si="0"/>
        <v>22</v>
      </c>
      <c r="F21">
        <v>52000</v>
      </c>
      <c r="G21" s="1">
        <v>1144000</v>
      </c>
      <c r="H21" s="29">
        <f t="shared" si="1"/>
        <v>0.65</v>
      </c>
      <c r="I21" t="s">
        <v>129</v>
      </c>
      <c r="J21" t="s">
        <v>130</v>
      </c>
      <c r="K21" t="str">
        <f t="shared" si="2"/>
        <v>Nei</v>
      </c>
      <c r="L21">
        <f t="shared" si="3"/>
        <v>43</v>
      </c>
      <c r="M21" s="27">
        <f t="shared" si="4"/>
        <v>614.9</v>
      </c>
      <c r="N21" s="27">
        <f t="shared" si="5"/>
        <v>2280.2806415277782</v>
      </c>
      <c r="O21" s="27">
        <f t="shared" si="6"/>
        <v>136.95379228395066</v>
      </c>
      <c r="P21" s="27">
        <f t="shared" si="7"/>
        <v>3800.4677358796307</v>
      </c>
      <c r="Q21" s="27">
        <f t="shared" si="8"/>
        <v>30.403741887037047</v>
      </c>
      <c r="R21" s="40">
        <f t="shared" si="9"/>
        <v>15.201870943518523</v>
      </c>
      <c r="S21" s="40">
        <f t="shared" si="9"/>
        <v>7.6009354717592617</v>
      </c>
      <c r="T21" s="40">
        <f t="shared" si="9"/>
        <v>3.8004677358796308</v>
      </c>
      <c r="U21" s="40">
        <f t="shared" si="9"/>
        <v>1.9002338679398154</v>
      </c>
      <c r="V21" s="27">
        <f t="shared" si="10"/>
        <v>19.89</v>
      </c>
      <c r="W21" s="3">
        <f t="shared" si="11"/>
        <v>14.9175</v>
      </c>
      <c r="X21" s="23">
        <f t="shared" si="12"/>
        <v>2.0381258178003718</v>
      </c>
      <c r="Y21" s="3"/>
      <c r="Z21" s="3" t="str">
        <f t="shared" si="13"/>
        <v>H2</v>
      </c>
      <c r="AA21" s="3">
        <f t="shared" si="14"/>
        <v>2757290.3643999998</v>
      </c>
      <c r="AB21" s="3">
        <f t="shared" si="15"/>
        <v>165603.0248888889</v>
      </c>
      <c r="AC21" s="3">
        <f t="shared" si="16"/>
        <v>453.70691750380524</v>
      </c>
      <c r="AD21" t="s">
        <v>252</v>
      </c>
      <c r="AE21" s="8" t="s">
        <v>253</v>
      </c>
      <c r="AF21">
        <v>39</v>
      </c>
      <c r="AG21" t="s">
        <v>215</v>
      </c>
      <c r="AH21" t="s">
        <v>8</v>
      </c>
      <c r="AI21" s="9">
        <v>45657</v>
      </c>
      <c r="AJ21" s="9">
        <v>46387</v>
      </c>
      <c r="AL21" s="3">
        <f t="shared" si="17"/>
        <v>743600</v>
      </c>
    </row>
    <row r="22" spans="1:38" ht="28.8" x14ac:dyDescent="0.3">
      <c r="A22" s="12" t="s">
        <v>85</v>
      </c>
      <c r="B22">
        <v>100</v>
      </c>
      <c r="C22">
        <v>19.899999999999999</v>
      </c>
      <c r="D22">
        <v>38</v>
      </c>
      <c r="E22" s="4">
        <f t="shared" si="0"/>
        <v>19.8</v>
      </c>
      <c r="F22">
        <v>46335</v>
      </c>
      <c r="G22" s="1">
        <v>917433</v>
      </c>
      <c r="H22" s="29">
        <f t="shared" si="1"/>
        <v>0.65</v>
      </c>
      <c r="I22" t="s">
        <v>131</v>
      </c>
      <c r="J22" t="s">
        <v>112</v>
      </c>
      <c r="K22" t="str">
        <f t="shared" si="2"/>
        <v>Nei</v>
      </c>
      <c r="L22">
        <f t="shared" si="3"/>
        <v>38</v>
      </c>
      <c r="M22" s="27">
        <f t="shared" si="4"/>
        <v>489.06</v>
      </c>
      <c r="N22" s="27">
        <f t="shared" si="5"/>
        <v>1813.6185567500002</v>
      </c>
      <c r="O22" s="27">
        <f t="shared" si="6"/>
        <v>108.92603944444447</v>
      </c>
      <c r="P22" s="27">
        <f t="shared" si="7"/>
        <v>3022.6975945833337</v>
      </c>
      <c r="Q22" s="27">
        <f t="shared" si="8"/>
        <v>24.181580756666669</v>
      </c>
      <c r="R22" s="40">
        <f t="shared" si="9"/>
        <v>12.090790378333335</v>
      </c>
      <c r="S22" s="40">
        <f t="shared" si="9"/>
        <v>6.0453951891666673</v>
      </c>
      <c r="T22" s="40">
        <f t="shared" si="9"/>
        <v>3.0226975945833336</v>
      </c>
      <c r="U22" s="40">
        <f t="shared" si="9"/>
        <v>1.5113487972916668</v>
      </c>
      <c r="V22" s="27">
        <f t="shared" si="10"/>
        <v>15.415600000000001</v>
      </c>
      <c r="W22" s="3">
        <f t="shared" si="11"/>
        <v>11.561700000000002</v>
      </c>
      <c r="X22" s="23">
        <f t="shared" si="12"/>
        <v>2.0915246682292974</v>
      </c>
      <c r="Y22" s="3"/>
      <c r="Z22" s="3" t="str">
        <f t="shared" si="13"/>
        <v>H2</v>
      </c>
      <c r="AA22" s="3">
        <f t="shared" si="14"/>
        <v>2211214.3102120501</v>
      </c>
      <c r="AB22" s="3">
        <f t="shared" si="15"/>
        <v>132805.664277</v>
      </c>
      <c r="AC22" s="3">
        <f t="shared" si="16"/>
        <v>363.85113500547948</v>
      </c>
      <c r="AD22" t="s">
        <v>254</v>
      </c>
      <c r="AE22" s="8" t="s">
        <v>234</v>
      </c>
      <c r="AF22" t="s">
        <v>255</v>
      </c>
      <c r="AG22" t="s">
        <v>215</v>
      </c>
      <c r="AH22" t="s">
        <v>15</v>
      </c>
      <c r="AI22" s="9">
        <v>44286</v>
      </c>
      <c r="AJ22" s="9">
        <v>44286</v>
      </c>
      <c r="AL22" s="3">
        <f t="shared" si="17"/>
        <v>596331.45000000007</v>
      </c>
    </row>
    <row r="23" spans="1:38" x14ac:dyDescent="0.3">
      <c r="A23" s="10" t="s">
        <v>84</v>
      </c>
      <c r="B23">
        <v>147</v>
      </c>
      <c r="C23">
        <v>34</v>
      </c>
      <c r="D23">
        <v>37.5</v>
      </c>
      <c r="E23" s="4">
        <f t="shared" si="0"/>
        <v>16.5</v>
      </c>
      <c r="F23">
        <v>22950</v>
      </c>
      <c r="G23" s="1">
        <v>378675</v>
      </c>
      <c r="H23" s="29">
        <f t="shared" si="1"/>
        <v>0.65</v>
      </c>
      <c r="I23" t="s">
        <v>115</v>
      </c>
      <c r="J23" t="s">
        <v>115</v>
      </c>
      <c r="K23" t="str">
        <f t="shared" si="2"/>
        <v>Ja</v>
      </c>
      <c r="L23">
        <f t="shared" si="3"/>
        <v>75</v>
      </c>
      <c r="M23" s="27">
        <f t="shared" si="4"/>
        <v>804.375</v>
      </c>
      <c r="N23" s="27">
        <f t="shared" si="5"/>
        <v>2982.9252578125001</v>
      </c>
      <c r="O23" s="27">
        <f t="shared" si="6"/>
        <v>179.15467013888892</v>
      </c>
      <c r="P23" s="27">
        <f t="shared" si="7"/>
        <v>4971.5420963541674</v>
      </c>
      <c r="Q23" s="27">
        <f t="shared" si="8"/>
        <v>39.772336770833341</v>
      </c>
      <c r="R23" s="40">
        <f t="shared" si="9"/>
        <v>19.886168385416671</v>
      </c>
      <c r="S23" s="40">
        <f t="shared" si="9"/>
        <v>9.9430841927083353</v>
      </c>
      <c r="T23" s="40">
        <f t="shared" si="9"/>
        <v>4.9715420963541677</v>
      </c>
      <c r="U23" s="40">
        <f t="shared" si="9"/>
        <v>2.4857710481770838</v>
      </c>
      <c r="V23" s="27">
        <f t="shared" si="10"/>
        <v>19.89</v>
      </c>
      <c r="W23" s="3">
        <f t="shared" si="11"/>
        <v>14.9175</v>
      </c>
      <c r="X23" s="23">
        <f t="shared" si="12"/>
        <v>2.6661529593318813</v>
      </c>
      <c r="Y23" s="3"/>
      <c r="Z23" s="3" t="str">
        <f t="shared" si="13"/>
        <v>H2</v>
      </c>
      <c r="AA23" s="3">
        <f t="shared" si="14"/>
        <v>912689.62302374991</v>
      </c>
      <c r="AB23" s="3">
        <f t="shared" si="15"/>
        <v>54816.193574999998</v>
      </c>
      <c r="AC23" s="3">
        <f t="shared" si="16"/>
        <v>150.18135226027397</v>
      </c>
      <c r="AD23" t="s">
        <v>84</v>
      </c>
      <c r="AE23" s="8" t="s">
        <v>40</v>
      </c>
      <c r="AF23">
        <v>3</v>
      </c>
      <c r="AG23" t="s">
        <v>215</v>
      </c>
      <c r="AH23" t="s">
        <v>389</v>
      </c>
      <c r="AI23" s="9">
        <v>47848</v>
      </c>
      <c r="AJ23" s="9">
        <v>47848</v>
      </c>
      <c r="AK23" t="s">
        <v>256</v>
      </c>
      <c r="AL23" s="3">
        <f t="shared" si="17"/>
        <v>246138.75</v>
      </c>
    </row>
    <row r="24" spans="1:38" x14ac:dyDescent="0.3">
      <c r="A24" s="10" t="s">
        <v>83</v>
      </c>
      <c r="B24">
        <v>146</v>
      </c>
      <c r="C24">
        <v>25</v>
      </c>
      <c r="D24">
        <v>37</v>
      </c>
      <c r="E24" s="4">
        <f t="shared" si="0"/>
        <v>16.5</v>
      </c>
      <c r="F24">
        <v>46510</v>
      </c>
      <c r="G24" s="1">
        <v>767415</v>
      </c>
      <c r="H24" s="29">
        <f t="shared" si="1"/>
        <v>0.65</v>
      </c>
      <c r="I24" t="s">
        <v>112</v>
      </c>
      <c r="J24" t="s">
        <v>112</v>
      </c>
      <c r="K24" t="str">
        <f t="shared" si="2"/>
        <v>Ja</v>
      </c>
      <c r="L24">
        <f t="shared" si="3"/>
        <v>74</v>
      </c>
      <c r="M24" s="27">
        <f t="shared" si="4"/>
        <v>793.65</v>
      </c>
      <c r="N24" s="27">
        <f t="shared" si="5"/>
        <v>2943.1529210416666</v>
      </c>
      <c r="O24" s="27">
        <f t="shared" si="6"/>
        <v>176.7659412037037</v>
      </c>
      <c r="P24" s="27">
        <f t="shared" si="7"/>
        <v>4905.2548684027779</v>
      </c>
      <c r="Q24" s="27">
        <f t="shared" si="8"/>
        <v>39.24203894722222</v>
      </c>
      <c r="R24" s="40">
        <f t="shared" si="9"/>
        <v>19.62101947361111</v>
      </c>
      <c r="S24" s="40">
        <f t="shared" si="9"/>
        <v>9.8105097368055549</v>
      </c>
      <c r="T24" s="40">
        <f t="shared" si="9"/>
        <v>4.9052548684027775</v>
      </c>
      <c r="U24" s="40">
        <f t="shared" si="9"/>
        <v>2.4526274342013887</v>
      </c>
      <c r="V24" s="27">
        <f t="shared" si="10"/>
        <v>19.794800000000002</v>
      </c>
      <c r="W24" s="3">
        <f t="shared" si="11"/>
        <v>14.846100000000002</v>
      </c>
      <c r="X24" s="23">
        <f t="shared" si="12"/>
        <v>2.6432557336419813</v>
      </c>
      <c r="Y24" s="3"/>
      <c r="Z24" s="3" t="str">
        <f t="shared" si="13"/>
        <v>H2</v>
      </c>
      <c r="AA24" s="3">
        <f t="shared" si="14"/>
        <v>1849638.09877275</v>
      </c>
      <c r="AB24" s="3">
        <f t="shared" si="15"/>
        <v>111089.37530166667</v>
      </c>
      <c r="AC24" s="3">
        <f t="shared" si="16"/>
        <v>304.35445288127858</v>
      </c>
      <c r="AD24" t="s">
        <v>257</v>
      </c>
      <c r="AE24" s="8" t="s">
        <v>258</v>
      </c>
      <c r="AF24" t="s">
        <v>259</v>
      </c>
      <c r="AG24" t="s">
        <v>215</v>
      </c>
      <c r="AH24" t="s">
        <v>15</v>
      </c>
      <c r="AI24" s="9">
        <v>44074</v>
      </c>
      <c r="AJ24" s="9">
        <v>44074</v>
      </c>
      <c r="AK24" t="s">
        <v>256</v>
      </c>
      <c r="AL24" s="3">
        <f t="shared" si="17"/>
        <v>498819.75</v>
      </c>
    </row>
    <row r="25" spans="1:38" x14ac:dyDescent="0.3">
      <c r="A25" s="10" t="s">
        <v>82</v>
      </c>
      <c r="B25">
        <v>45</v>
      </c>
      <c r="C25">
        <v>24</v>
      </c>
      <c r="D25">
        <v>34</v>
      </c>
      <c r="E25" s="4">
        <f t="shared" si="0"/>
        <v>16.5</v>
      </c>
      <c r="F25">
        <v>17340</v>
      </c>
      <c r="G25" s="1">
        <v>286110</v>
      </c>
      <c r="H25" s="29">
        <f t="shared" si="1"/>
        <v>0.65</v>
      </c>
      <c r="I25" t="s">
        <v>106</v>
      </c>
      <c r="J25" t="s">
        <v>133</v>
      </c>
      <c r="K25" t="str">
        <f t="shared" si="2"/>
        <v>Nei</v>
      </c>
      <c r="L25">
        <f t="shared" si="3"/>
        <v>34</v>
      </c>
      <c r="M25" s="27">
        <f t="shared" si="4"/>
        <v>364.65000000000003</v>
      </c>
      <c r="N25" s="27">
        <f t="shared" si="5"/>
        <v>1352.2594502083334</v>
      </c>
      <c r="O25" s="27">
        <f t="shared" si="6"/>
        <v>81.216783796296312</v>
      </c>
      <c r="P25" s="27">
        <f t="shared" si="7"/>
        <v>2253.7657503472224</v>
      </c>
      <c r="Q25" s="27">
        <f t="shared" si="8"/>
        <v>18.030126002777777</v>
      </c>
      <c r="R25" s="40">
        <f t="shared" si="9"/>
        <v>9.0150630013888886</v>
      </c>
      <c r="S25" s="40">
        <f t="shared" si="9"/>
        <v>4.5075315006944443</v>
      </c>
      <c r="T25" s="40">
        <f t="shared" si="9"/>
        <v>2.2537657503472222</v>
      </c>
      <c r="U25" s="40">
        <f t="shared" si="9"/>
        <v>1.1268828751736111</v>
      </c>
      <c r="V25" s="27">
        <f t="shared" si="10"/>
        <v>10.179600000000001</v>
      </c>
      <c r="W25" s="3">
        <f t="shared" si="11"/>
        <v>7.6347000000000005</v>
      </c>
      <c r="X25" s="23">
        <f t="shared" si="12"/>
        <v>2.361602420891165</v>
      </c>
      <c r="Y25" s="3"/>
      <c r="Z25" s="3" t="str">
        <f t="shared" si="13"/>
        <v>H2</v>
      </c>
      <c r="AA25" s="3">
        <f t="shared" si="14"/>
        <v>689587.71517349989</v>
      </c>
      <c r="AB25" s="3">
        <f t="shared" si="15"/>
        <v>41416.67959</v>
      </c>
      <c r="AC25" s="3">
        <f t="shared" si="16"/>
        <v>113.47035504109589</v>
      </c>
      <c r="AD25" t="s">
        <v>260</v>
      </c>
      <c r="AE25" s="8" t="s">
        <v>261</v>
      </c>
      <c r="AF25" t="s">
        <v>262</v>
      </c>
      <c r="AG25" t="s">
        <v>215</v>
      </c>
      <c r="AH25" t="s">
        <v>388</v>
      </c>
      <c r="AI25" s="9">
        <v>44926</v>
      </c>
      <c r="AJ25" s="9">
        <v>45657</v>
      </c>
      <c r="AL25" s="3">
        <f t="shared" si="17"/>
        <v>185971.5</v>
      </c>
    </row>
    <row r="26" spans="1:38" x14ac:dyDescent="0.3">
      <c r="A26" s="10" t="s">
        <v>81</v>
      </c>
      <c r="B26">
        <v>85</v>
      </c>
      <c r="D26">
        <v>33</v>
      </c>
      <c r="E26" s="4">
        <f t="shared" si="0"/>
        <v>29.699990097048921</v>
      </c>
      <c r="F26">
        <v>40392</v>
      </c>
      <c r="G26" s="1">
        <v>1199642</v>
      </c>
      <c r="H26" s="29">
        <f t="shared" si="1"/>
        <v>0.65</v>
      </c>
      <c r="I26" t="s">
        <v>127</v>
      </c>
      <c r="J26" t="s">
        <v>134</v>
      </c>
      <c r="K26" t="str">
        <f t="shared" si="2"/>
        <v>Nei</v>
      </c>
      <c r="L26">
        <f t="shared" si="3"/>
        <v>33</v>
      </c>
      <c r="M26" s="27">
        <f t="shared" si="4"/>
        <v>637.06478758169942</v>
      </c>
      <c r="N26" s="27">
        <f t="shared" si="5"/>
        <v>2362.47601646049</v>
      </c>
      <c r="O26" s="27">
        <f t="shared" si="6"/>
        <v>141.89045143906847</v>
      </c>
      <c r="P26" s="27">
        <f t="shared" si="7"/>
        <v>3937.4600274341501</v>
      </c>
      <c r="Q26" s="27">
        <f t="shared" si="8"/>
        <v>31.499680219473202</v>
      </c>
      <c r="R26" s="40">
        <f t="shared" si="9"/>
        <v>15.749840109736601</v>
      </c>
      <c r="S26" s="40">
        <f t="shared" si="9"/>
        <v>7.8749200548683005</v>
      </c>
      <c r="T26" s="40">
        <f t="shared" si="9"/>
        <v>3.9374600274341502</v>
      </c>
      <c r="U26" s="40">
        <f t="shared" si="9"/>
        <v>1.9687300137170751</v>
      </c>
      <c r="V26" s="31">
        <v>22</v>
      </c>
      <c r="W26" s="3">
        <f t="shared" si="11"/>
        <v>16.5</v>
      </c>
      <c r="X26" s="23">
        <f t="shared" si="12"/>
        <v>1.9090715284529214</v>
      </c>
      <c r="Y26" s="3"/>
      <c r="Z26" s="3" t="str">
        <f t="shared" si="13"/>
        <v>H2</v>
      </c>
      <c r="AA26" s="3">
        <f t="shared" si="14"/>
        <v>2891399.7616516994</v>
      </c>
      <c r="AB26" s="3">
        <f t="shared" si="15"/>
        <v>173657.64334244441</v>
      </c>
      <c r="AC26" s="3">
        <f t="shared" si="16"/>
        <v>475.77436532176552</v>
      </c>
      <c r="AD26" t="s">
        <v>263</v>
      </c>
      <c r="AE26" s="8" t="s">
        <v>264</v>
      </c>
      <c r="AF26">
        <v>560</v>
      </c>
      <c r="AG26" t="s">
        <v>265</v>
      </c>
      <c r="AH26" t="s">
        <v>11</v>
      </c>
      <c r="AI26" s="9">
        <v>44561</v>
      </c>
      <c r="AJ26" s="9">
        <v>45657</v>
      </c>
      <c r="AL26" s="3">
        <f t="shared" si="17"/>
        <v>779767.3</v>
      </c>
    </row>
    <row r="27" spans="1:38" x14ac:dyDescent="0.3">
      <c r="A27" s="15" t="s">
        <v>79</v>
      </c>
      <c r="B27">
        <v>126</v>
      </c>
      <c r="C27">
        <v>28</v>
      </c>
      <c r="D27">
        <v>30</v>
      </c>
      <c r="E27" s="4">
        <f t="shared" si="0"/>
        <v>22</v>
      </c>
      <c r="F27">
        <v>35190</v>
      </c>
      <c r="G27" s="1">
        <v>774180</v>
      </c>
      <c r="H27" s="29">
        <f t="shared" si="1"/>
        <v>0.65</v>
      </c>
      <c r="I27" t="s">
        <v>116</v>
      </c>
      <c r="J27" t="s">
        <v>135</v>
      </c>
      <c r="K27" t="str">
        <f t="shared" si="2"/>
        <v>Nei</v>
      </c>
      <c r="L27">
        <f t="shared" si="3"/>
        <v>30</v>
      </c>
      <c r="M27" s="27">
        <f t="shared" si="4"/>
        <v>429</v>
      </c>
      <c r="N27" s="27">
        <f t="shared" si="5"/>
        <v>1590.8934708333336</v>
      </c>
      <c r="O27" s="27">
        <f t="shared" si="6"/>
        <v>95.549157407407435</v>
      </c>
      <c r="P27" s="27">
        <f t="shared" si="7"/>
        <v>2651.489118055556</v>
      </c>
      <c r="Q27" s="27">
        <f t="shared" si="8"/>
        <v>21.21191294444445</v>
      </c>
      <c r="R27" s="40">
        <f t="shared" si="9"/>
        <v>10.605956472222225</v>
      </c>
      <c r="S27" s="40">
        <f t="shared" si="9"/>
        <v>5.3029782361111124</v>
      </c>
      <c r="T27" s="40">
        <f t="shared" si="9"/>
        <v>2.6514891180555562</v>
      </c>
      <c r="U27" s="40">
        <f t="shared" si="9"/>
        <v>1.3257445590277781</v>
      </c>
      <c r="V27" s="27">
        <f t="shared" si="10"/>
        <v>17.890799999999999</v>
      </c>
      <c r="W27" s="3">
        <f t="shared" si="11"/>
        <v>13.418099999999999</v>
      </c>
      <c r="X27" s="23">
        <f t="shared" si="12"/>
        <v>1.5808432598090976</v>
      </c>
      <c r="Y27" s="3"/>
      <c r="Z27" s="3" t="str">
        <f t="shared" si="13"/>
        <v>H2</v>
      </c>
      <c r="AA27" s="3">
        <f t="shared" si="14"/>
        <v>1865943.2292929997</v>
      </c>
      <c r="AB27" s="3">
        <f t="shared" si="15"/>
        <v>112068.66241999999</v>
      </c>
      <c r="AC27" s="3">
        <f t="shared" si="16"/>
        <v>307.03743128767121</v>
      </c>
      <c r="AD27" t="s">
        <v>266</v>
      </c>
      <c r="AE27" s="8" t="s">
        <v>267</v>
      </c>
      <c r="AF27">
        <v>6</v>
      </c>
      <c r="AG27" t="s">
        <v>215</v>
      </c>
      <c r="AH27" t="s">
        <v>389</v>
      </c>
      <c r="AI27" s="9">
        <v>47391</v>
      </c>
      <c r="AJ27" s="9">
        <v>48944</v>
      </c>
      <c r="AL27" s="3">
        <f t="shared" si="17"/>
        <v>503217</v>
      </c>
    </row>
    <row r="28" spans="1:38" x14ac:dyDescent="0.3">
      <c r="A28" s="15" t="s">
        <v>80</v>
      </c>
      <c r="B28">
        <v>92</v>
      </c>
      <c r="C28">
        <v>24</v>
      </c>
      <c r="D28">
        <v>30</v>
      </c>
      <c r="E28" s="4">
        <f t="shared" si="0"/>
        <v>22</v>
      </c>
      <c r="F28">
        <v>9010</v>
      </c>
      <c r="G28" s="1">
        <v>198220</v>
      </c>
      <c r="H28" s="29">
        <f t="shared" si="1"/>
        <v>0.65</v>
      </c>
      <c r="I28" t="s">
        <v>113</v>
      </c>
      <c r="J28" t="s">
        <v>136</v>
      </c>
      <c r="K28" t="str">
        <f t="shared" si="2"/>
        <v>Nei</v>
      </c>
      <c r="L28">
        <f t="shared" si="3"/>
        <v>30</v>
      </c>
      <c r="M28" s="27">
        <f t="shared" si="4"/>
        <v>429</v>
      </c>
      <c r="N28" s="27">
        <f t="shared" si="5"/>
        <v>1590.8934708333336</v>
      </c>
      <c r="O28" s="27">
        <f t="shared" si="6"/>
        <v>95.549157407407435</v>
      </c>
      <c r="P28" s="27">
        <f t="shared" si="7"/>
        <v>2651.489118055556</v>
      </c>
      <c r="Q28" s="27">
        <f t="shared" si="8"/>
        <v>21.21191294444445</v>
      </c>
      <c r="R28" s="40">
        <f t="shared" si="9"/>
        <v>10.605956472222225</v>
      </c>
      <c r="S28" s="40">
        <f t="shared" si="9"/>
        <v>5.3029782361111124</v>
      </c>
      <c r="T28" s="40">
        <f t="shared" si="9"/>
        <v>2.6514891180555562</v>
      </c>
      <c r="U28" s="40">
        <f t="shared" si="9"/>
        <v>1.3257445590277781</v>
      </c>
      <c r="V28" s="27">
        <f t="shared" si="10"/>
        <v>14.654</v>
      </c>
      <c r="W28" s="3" t="str">
        <f t="shared" si="11"/>
        <v>n/a</v>
      </c>
      <c r="X28" s="23" t="str">
        <f t="shared" si="12"/>
        <v/>
      </c>
      <c r="Y28" s="3" t="s">
        <v>380</v>
      </c>
      <c r="Z28" s="3" t="str">
        <f t="shared" si="13"/>
        <v>n/a</v>
      </c>
      <c r="AA28" s="3">
        <f t="shared" si="14"/>
        <v>477753.58044699993</v>
      </c>
      <c r="AB28" s="3">
        <f t="shared" si="15"/>
        <v>28693.908735555553</v>
      </c>
      <c r="AC28" s="3">
        <f t="shared" si="16"/>
        <v>78.613448590563152</v>
      </c>
      <c r="AD28" t="s">
        <v>136</v>
      </c>
      <c r="AH28" t="s">
        <v>15</v>
      </c>
      <c r="AK28" t="s">
        <v>268</v>
      </c>
      <c r="AL28" s="3">
        <f t="shared" si="17"/>
        <v>128843</v>
      </c>
    </row>
    <row r="29" spans="1:38" x14ac:dyDescent="0.3">
      <c r="A29" s="15" t="s">
        <v>78</v>
      </c>
      <c r="B29">
        <v>70</v>
      </c>
      <c r="C29">
        <v>25</v>
      </c>
      <c r="D29">
        <v>29</v>
      </c>
      <c r="E29" s="4">
        <f t="shared" si="0"/>
        <v>16.500007563495544</v>
      </c>
      <c r="F29">
        <v>66107</v>
      </c>
      <c r="G29" s="1">
        <v>1090766</v>
      </c>
      <c r="H29" s="29">
        <f t="shared" si="1"/>
        <v>0.65</v>
      </c>
      <c r="I29" t="s">
        <v>114</v>
      </c>
      <c r="J29" t="s">
        <v>114</v>
      </c>
      <c r="K29" t="str">
        <f t="shared" si="2"/>
        <v>Ja</v>
      </c>
      <c r="L29">
        <f t="shared" si="3"/>
        <v>58</v>
      </c>
      <c r="M29" s="27">
        <f t="shared" si="4"/>
        <v>622.05028514378205</v>
      </c>
      <c r="N29" s="27">
        <f t="shared" si="5"/>
        <v>2306.7965901288026</v>
      </c>
      <c r="O29" s="27">
        <f t="shared" si="6"/>
        <v>138.54634174947765</v>
      </c>
      <c r="P29" s="27">
        <f t="shared" si="7"/>
        <v>3844.6609835480044</v>
      </c>
      <c r="Q29" s="27">
        <f t="shared" si="8"/>
        <v>30.757287868384036</v>
      </c>
      <c r="R29" s="40">
        <f t="shared" si="9"/>
        <v>15.378643934192018</v>
      </c>
      <c r="S29" s="40">
        <f t="shared" si="9"/>
        <v>7.6893219670960091</v>
      </c>
      <c r="T29" s="40">
        <f t="shared" si="9"/>
        <v>3.8446609835480046</v>
      </c>
      <c r="U29" s="40">
        <f t="shared" si="9"/>
        <v>1.9223304917740023</v>
      </c>
      <c r="V29" s="31">
        <v>14</v>
      </c>
      <c r="W29" s="3">
        <f t="shared" si="11"/>
        <v>10.5</v>
      </c>
      <c r="X29" s="23">
        <f t="shared" si="12"/>
        <v>2.9292655112746702</v>
      </c>
      <c r="Y29" s="3"/>
      <c r="Z29" s="3" t="str">
        <f t="shared" si="13"/>
        <v>H2</v>
      </c>
      <c r="AA29" s="3">
        <f t="shared" si="14"/>
        <v>2628984.7741391002</v>
      </c>
      <c r="AB29" s="3">
        <f t="shared" si="15"/>
        <v>157896.9834317778</v>
      </c>
      <c r="AC29" s="3">
        <f t="shared" si="16"/>
        <v>432.59447515555564</v>
      </c>
      <c r="AD29" t="s">
        <v>269</v>
      </c>
      <c r="AE29" s="8" t="s">
        <v>229</v>
      </c>
      <c r="AF29">
        <v>320</v>
      </c>
      <c r="AG29" t="s">
        <v>265</v>
      </c>
      <c r="AH29" t="s">
        <v>389</v>
      </c>
      <c r="AI29" s="9">
        <v>46022</v>
      </c>
      <c r="AJ29" s="9">
        <v>46022</v>
      </c>
      <c r="AK29" t="s">
        <v>270</v>
      </c>
      <c r="AL29" s="3">
        <f t="shared" si="17"/>
        <v>708997.9</v>
      </c>
    </row>
    <row r="30" spans="1:38" s="5" customFormat="1" x14ac:dyDescent="0.3">
      <c r="A30" s="15" t="s">
        <v>73</v>
      </c>
      <c r="B30">
        <v>70</v>
      </c>
      <c r="C30">
        <v>28</v>
      </c>
      <c r="D30">
        <v>28</v>
      </c>
      <c r="E30" s="4">
        <f t="shared" si="0"/>
        <v>19.8</v>
      </c>
      <c r="F30">
        <v>66250</v>
      </c>
      <c r="G30" s="1">
        <v>1311750</v>
      </c>
      <c r="H30" s="29">
        <f t="shared" si="1"/>
        <v>0.65</v>
      </c>
      <c r="I30" t="s">
        <v>123</v>
      </c>
      <c r="J30" t="s">
        <v>123</v>
      </c>
      <c r="K30" t="str">
        <f t="shared" si="2"/>
        <v>Ja</v>
      </c>
      <c r="L30">
        <f t="shared" si="3"/>
        <v>56</v>
      </c>
      <c r="M30" s="27">
        <f t="shared" si="4"/>
        <v>720.72</v>
      </c>
      <c r="N30" s="27">
        <f t="shared" si="5"/>
        <v>2672.7010310000005</v>
      </c>
      <c r="O30" s="27">
        <f t="shared" si="6"/>
        <v>160.52258444444448</v>
      </c>
      <c r="P30" s="27">
        <f t="shared" si="7"/>
        <v>4454.5017183333348</v>
      </c>
      <c r="Q30" s="27">
        <f t="shared" si="8"/>
        <v>35.636013746666677</v>
      </c>
      <c r="R30" s="40">
        <f t="shared" si="9"/>
        <v>17.818006873333339</v>
      </c>
      <c r="S30" s="40">
        <f t="shared" si="9"/>
        <v>8.9090034366666693</v>
      </c>
      <c r="T30" s="40">
        <f t="shared" si="9"/>
        <v>4.4545017183333346</v>
      </c>
      <c r="U30" s="40">
        <f t="shared" si="9"/>
        <v>2.2272508591666673</v>
      </c>
      <c r="V30" s="31">
        <v>12</v>
      </c>
      <c r="W30" s="3">
        <f t="shared" si="11"/>
        <v>9</v>
      </c>
      <c r="X30" s="23">
        <f t="shared" si="12"/>
        <v>3.9595570829629643</v>
      </c>
      <c r="Y30" s="3"/>
      <c r="Z30" s="3" t="str">
        <f t="shared" si="13"/>
        <v>H2</v>
      </c>
      <c r="AA30" s="3">
        <f t="shared" si="14"/>
        <v>3161604.5764874993</v>
      </c>
      <c r="AB30" s="3">
        <f t="shared" si="15"/>
        <v>189886.16074999998</v>
      </c>
      <c r="AC30" s="3">
        <f t="shared" si="16"/>
        <v>520.23605684931499</v>
      </c>
      <c r="AD30" s="5" t="s">
        <v>271</v>
      </c>
      <c r="AE30" s="8" t="s">
        <v>229</v>
      </c>
      <c r="AF30" s="5">
        <v>380</v>
      </c>
      <c r="AG30" s="5" t="s">
        <v>265</v>
      </c>
      <c r="AH30" s="5" t="s">
        <v>389</v>
      </c>
      <c r="AI30" s="9">
        <v>46022</v>
      </c>
      <c r="AJ30" s="9">
        <v>46022</v>
      </c>
      <c r="AK30" s="11" t="s">
        <v>240</v>
      </c>
      <c r="AL30" s="3">
        <f t="shared" si="17"/>
        <v>852637.5</v>
      </c>
    </row>
    <row r="31" spans="1:38" x14ac:dyDescent="0.3">
      <c r="A31" s="22" t="s">
        <v>74</v>
      </c>
      <c r="B31">
        <v>30</v>
      </c>
      <c r="D31">
        <v>28</v>
      </c>
      <c r="E31" s="4">
        <f t="shared" si="0"/>
        <v>11</v>
      </c>
      <c r="F31">
        <v>3779</v>
      </c>
      <c r="G31" s="1">
        <v>41569</v>
      </c>
      <c r="H31" s="29">
        <f t="shared" si="1"/>
        <v>0.65</v>
      </c>
      <c r="I31" t="s">
        <v>131</v>
      </c>
      <c r="J31" t="s">
        <v>137</v>
      </c>
      <c r="K31" t="str">
        <f t="shared" si="2"/>
        <v>Nei</v>
      </c>
      <c r="L31">
        <f t="shared" si="3"/>
        <v>28</v>
      </c>
      <c r="M31" s="27">
        <f t="shared" si="4"/>
        <v>200.20000000000002</v>
      </c>
      <c r="N31" s="27">
        <f t="shared" si="5"/>
        <v>742.41695305555572</v>
      </c>
      <c r="O31" s="27">
        <f t="shared" si="6"/>
        <v>44.589606790123469</v>
      </c>
      <c r="P31" s="27">
        <f t="shared" si="7"/>
        <v>1237.3615884259264</v>
      </c>
      <c r="Q31" s="27">
        <f t="shared" si="8"/>
        <v>9.8988927074074109</v>
      </c>
      <c r="R31" s="40">
        <f t="shared" si="9"/>
        <v>4.9494463537037054</v>
      </c>
      <c r="S31" s="40">
        <f t="shared" si="9"/>
        <v>2.4747231768518527</v>
      </c>
      <c r="T31" s="40">
        <f t="shared" si="9"/>
        <v>1.2373615884259264</v>
      </c>
      <c r="U31" s="40">
        <f t="shared" si="9"/>
        <v>0.61868079421296318</v>
      </c>
      <c r="V31" s="27">
        <f t="shared" si="10"/>
        <v>8.7515999999999998</v>
      </c>
      <c r="W31" s="3" t="str">
        <f t="shared" si="11"/>
        <v>n/a</v>
      </c>
      <c r="X31" s="23" t="str">
        <f t="shared" si="12"/>
        <v/>
      </c>
      <c r="Y31" s="3" t="s">
        <v>380</v>
      </c>
      <c r="Z31" s="3" t="str">
        <f t="shared" si="13"/>
        <v>n/a</v>
      </c>
      <c r="AA31" s="3">
        <f t="shared" si="14"/>
        <v>100190.38737565</v>
      </c>
      <c r="AB31" s="3">
        <f t="shared" si="15"/>
        <v>6017.4406832222221</v>
      </c>
      <c r="AC31" s="3">
        <f t="shared" si="16"/>
        <v>16.486138858143075</v>
      </c>
      <c r="AK31" s="11" t="s">
        <v>272</v>
      </c>
      <c r="AL31" s="3">
        <f t="shared" si="17"/>
        <v>27019.850000000002</v>
      </c>
    </row>
    <row r="32" spans="1:38" x14ac:dyDescent="0.3">
      <c r="A32" s="15" t="s">
        <v>75</v>
      </c>
      <c r="B32">
        <v>70</v>
      </c>
      <c r="D32">
        <v>28</v>
      </c>
      <c r="E32" s="4">
        <f t="shared" si="0"/>
        <v>19.800001945222533</v>
      </c>
      <c r="F32">
        <v>102816</v>
      </c>
      <c r="G32" s="1">
        <v>2035757</v>
      </c>
      <c r="H32" s="29">
        <f>H6</f>
        <v>0.9</v>
      </c>
      <c r="I32" t="s">
        <v>138</v>
      </c>
      <c r="J32" t="s">
        <v>138</v>
      </c>
      <c r="K32" t="str">
        <f t="shared" si="2"/>
        <v>Ja</v>
      </c>
      <c r="L32">
        <f t="shared" si="3"/>
        <v>56</v>
      </c>
      <c r="M32" s="27">
        <f t="shared" si="4"/>
        <v>997.92009803921565</v>
      </c>
      <c r="N32" s="27">
        <f t="shared" si="5"/>
        <v>3700.6633295663128</v>
      </c>
      <c r="O32" s="27">
        <f t="shared" si="6"/>
        <v>222.26206183581459</v>
      </c>
      <c r="P32" s="27">
        <f t="shared" si="7"/>
        <v>6167.7722159438545</v>
      </c>
      <c r="Q32" s="27">
        <f t="shared" si="8"/>
        <v>49.342177727550833</v>
      </c>
      <c r="R32" s="40">
        <f t="shared" si="9"/>
        <v>24.671088863775417</v>
      </c>
      <c r="S32" s="40">
        <f t="shared" si="9"/>
        <v>12.335544431887708</v>
      </c>
      <c r="T32" s="40">
        <f t="shared" si="9"/>
        <v>6.1677722159438542</v>
      </c>
      <c r="U32" s="40">
        <f t="shared" si="9"/>
        <v>3.0838861079719271</v>
      </c>
      <c r="V32" s="27">
        <f t="shared" si="10"/>
        <v>12.5596</v>
      </c>
      <c r="W32" s="3">
        <f t="shared" si="11"/>
        <v>9.4196999999999989</v>
      </c>
      <c r="X32" s="23">
        <f t="shared" si="12"/>
        <v>5.2381899346636134</v>
      </c>
      <c r="Y32" s="3"/>
      <c r="Z32" s="3" t="str">
        <f t="shared" si="13"/>
        <v>H2</v>
      </c>
      <c r="AA32" s="3">
        <f t="shared" si="14"/>
        <v>6793781.3936576992</v>
      </c>
      <c r="AB32" s="3">
        <f t="shared" si="15"/>
        <v>408034.91853799997</v>
      </c>
      <c r="AC32" s="3">
        <f t="shared" si="16"/>
        <v>1117.9038864054794</v>
      </c>
      <c r="AD32" t="s">
        <v>273</v>
      </c>
      <c r="AE32" s="8" t="s">
        <v>221</v>
      </c>
      <c r="AF32" t="s">
        <v>274</v>
      </c>
      <c r="AG32" t="s">
        <v>215</v>
      </c>
      <c r="AH32" t="s">
        <v>19</v>
      </c>
      <c r="AI32" s="9">
        <v>44561</v>
      </c>
      <c r="AJ32" s="9">
        <v>45291</v>
      </c>
      <c r="AK32" t="s">
        <v>240</v>
      </c>
      <c r="AL32" s="3">
        <f t="shared" si="17"/>
        <v>1832181.3</v>
      </c>
    </row>
    <row r="33" spans="1:38" x14ac:dyDescent="0.3">
      <c r="A33" s="10" t="s">
        <v>76</v>
      </c>
      <c r="B33">
        <v>70</v>
      </c>
      <c r="D33">
        <v>28</v>
      </c>
      <c r="E33" s="4">
        <f t="shared" si="0"/>
        <v>19.799977022058822</v>
      </c>
      <c r="F33">
        <v>17408</v>
      </c>
      <c r="G33" s="1">
        <v>344678</v>
      </c>
      <c r="H33" s="29">
        <f t="shared" si="1"/>
        <v>0.65</v>
      </c>
      <c r="I33" t="s">
        <v>139</v>
      </c>
      <c r="J33" t="s">
        <v>140</v>
      </c>
      <c r="K33" t="str">
        <f t="shared" si="2"/>
        <v>Nei</v>
      </c>
      <c r="L33">
        <f t="shared" si="3"/>
        <v>28</v>
      </c>
      <c r="M33" s="27">
        <f t="shared" si="4"/>
        <v>360.3595818014706</v>
      </c>
      <c r="N33" s="27">
        <f t="shared" si="5"/>
        <v>1336.3489646624478</v>
      </c>
      <c r="O33" s="27">
        <f t="shared" si="6"/>
        <v>80.261199078825697</v>
      </c>
      <c r="P33" s="27">
        <f t="shared" si="7"/>
        <v>2227.2482744374129</v>
      </c>
      <c r="Q33" s="27">
        <f t="shared" si="8"/>
        <v>17.817986195499302</v>
      </c>
      <c r="R33" s="40">
        <f t="shared" si="9"/>
        <v>8.9089930977496508</v>
      </c>
      <c r="S33" s="40">
        <f t="shared" si="9"/>
        <v>4.4544965488748254</v>
      </c>
      <c r="T33" s="40">
        <f t="shared" si="9"/>
        <v>2.2272482744374127</v>
      </c>
      <c r="U33" s="40">
        <f t="shared" si="9"/>
        <v>1.1136241372187063</v>
      </c>
      <c r="V33" s="31">
        <v>10</v>
      </c>
      <c r="W33" s="3">
        <f t="shared" si="11"/>
        <v>7.5</v>
      </c>
      <c r="X33" s="23">
        <f t="shared" si="12"/>
        <v>2.37573149273324</v>
      </c>
      <c r="Y33" s="3"/>
      <c r="Z33" s="3" t="str">
        <f t="shared" si="13"/>
        <v>H2</v>
      </c>
      <c r="AA33" s="3">
        <f t="shared" si="14"/>
        <v>830749.4127802999</v>
      </c>
      <c r="AB33" s="3">
        <f t="shared" si="15"/>
        <v>49894.859626444442</v>
      </c>
      <c r="AC33" s="3">
        <f t="shared" si="16"/>
        <v>136.69824555190257</v>
      </c>
      <c r="AD33" t="s">
        <v>275</v>
      </c>
      <c r="AE33" s="8" t="s">
        <v>261</v>
      </c>
      <c r="AF33" t="s">
        <v>276</v>
      </c>
      <c r="AG33" t="s">
        <v>265</v>
      </c>
      <c r="AH33" t="s">
        <v>388</v>
      </c>
      <c r="AI33" s="9">
        <v>44926</v>
      </c>
      <c r="AJ33" s="9">
        <v>45657</v>
      </c>
      <c r="AL33" s="3">
        <f t="shared" si="17"/>
        <v>224040.7</v>
      </c>
    </row>
    <row r="34" spans="1:38" x14ac:dyDescent="0.3">
      <c r="A34" s="10" t="s">
        <v>77</v>
      </c>
      <c r="B34">
        <v>47</v>
      </c>
      <c r="C34">
        <v>25</v>
      </c>
      <c r="D34">
        <v>28</v>
      </c>
      <c r="E34" s="4">
        <f t="shared" si="0"/>
        <v>13.2</v>
      </c>
      <c r="F34">
        <v>24460</v>
      </c>
      <c r="G34" s="1">
        <v>322872</v>
      </c>
      <c r="H34" s="29">
        <f t="shared" si="1"/>
        <v>0.65</v>
      </c>
      <c r="I34" t="s">
        <v>105</v>
      </c>
      <c r="J34" t="s">
        <v>105</v>
      </c>
      <c r="K34" t="str">
        <f t="shared" si="2"/>
        <v>Ja</v>
      </c>
      <c r="L34">
        <f t="shared" si="3"/>
        <v>56</v>
      </c>
      <c r="M34" s="27">
        <f t="shared" si="4"/>
        <v>480.47999999999996</v>
      </c>
      <c r="N34" s="27">
        <f t="shared" si="5"/>
        <v>1781.8006873333334</v>
      </c>
      <c r="O34" s="27">
        <f t="shared" si="6"/>
        <v>107.01505629629631</v>
      </c>
      <c r="P34" s="27">
        <f t="shared" si="7"/>
        <v>2969.6678122222224</v>
      </c>
      <c r="Q34" s="27">
        <f t="shared" si="8"/>
        <v>23.757342497777781</v>
      </c>
      <c r="R34" s="40">
        <f t="shared" si="9"/>
        <v>11.878671248888891</v>
      </c>
      <c r="S34" s="40">
        <f t="shared" si="9"/>
        <v>5.9393356244444453</v>
      </c>
      <c r="T34" s="40">
        <f t="shared" si="9"/>
        <v>2.9696678122222226</v>
      </c>
      <c r="U34" s="40">
        <f t="shared" si="9"/>
        <v>1.4848339061111113</v>
      </c>
      <c r="V34" s="31">
        <v>8</v>
      </c>
      <c r="W34" s="3">
        <f t="shared" si="11"/>
        <v>6</v>
      </c>
      <c r="X34" s="23">
        <f t="shared" si="12"/>
        <v>3.9595570829629634</v>
      </c>
      <c r="Y34" s="3"/>
      <c r="Z34" s="3" t="str">
        <f t="shared" si="13"/>
        <v>H2</v>
      </c>
      <c r="AA34" s="3">
        <f t="shared" si="14"/>
        <v>778192.18053719995</v>
      </c>
      <c r="AB34" s="3">
        <f t="shared" si="15"/>
        <v>46738.269101333331</v>
      </c>
      <c r="AC34" s="3">
        <f t="shared" si="16"/>
        <v>128.05005233242008</v>
      </c>
      <c r="AD34" t="s">
        <v>277</v>
      </c>
      <c r="AE34" s="8" t="s">
        <v>224</v>
      </c>
      <c r="AF34">
        <v>2078</v>
      </c>
      <c r="AG34" t="s">
        <v>265</v>
      </c>
      <c r="AH34" t="s">
        <v>388</v>
      </c>
      <c r="AI34" s="9">
        <v>45291</v>
      </c>
      <c r="AJ34" s="9">
        <v>46752</v>
      </c>
      <c r="AK34" t="s">
        <v>230</v>
      </c>
      <c r="AL34" s="3">
        <f t="shared" si="17"/>
        <v>209866.80000000002</v>
      </c>
    </row>
    <row r="35" spans="1:38" x14ac:dyDescent="0.3">
      <c r="A35" s="10" t="s">
        <v>71</v>
      </c>
      <c r="B35">
        <v>70</v>
      </c>
      <c r="C35">
        <v>25</v>
      </c>
      <c r="D35">
        <v>27</v>
      </c>
      <c r="E35" s="4">
        <f t="shared" ref="E35:E51" si="18">G35/F35</f>
        <v>17.600014536996657</v>
      </c>
      <c r="F35">
        <v>27516</v>
      </c>
      <c r="G35" s="1">
        <v>484282</v>
      </c>
      <c r="H35" s="29">
        <f t="shared" si="1"/>
        <v>0.65</v>
      </c>
      <c r="I35" t="s">
        <v>114</v>
      </c>
      <c r="J35" t="s">
        <v>114</v>
      </c>
      <c r="K35" t="str">
        <f t="shared" si="2"/>
        <v>Ja</v>
      </c>
      <c r="L35">
        <f t="shared" si="3"/>
        <v>54</v>
      </c>
      <c r="M35" s="27">
        <f t="shared" si="4"/>
        <v>617.76051024858259</v>
      </c>
      <c r="N35" s="27">
        <f t="shared" si="5"/>
        <v>2290.8884901937963</v>
      </c>
      <c r="O35" s="27">
        <f t="shared" si="6"/>
        <v>137.59090031193972</v>
      </c>
      <c r="P35" s="27">
        <f>N35/0.6</f>
        <v>3818.1474836563275</v>
      </c>
      <c r="Q35" s="27">
        <f t="shared" si="8"/>
        <v>30.545179869250621</v>
      </c>
      <c r="R35" s="40">
        <f t="shared" si="9"/>
        <v>15.27258993462531</v>
      </c>
      <c r="S35" s="40">
        <f t="shared" si="9"/>
        <v>7.6362949673126552</v>
      </c>
      <c r="T35" s="40">
        <f t="shared" si="9"/>
        <v>3.8181474836563276</v>
      </c>
      <c r="U35" s="40">
        <f t="shared" si="9"/>
        <v>1.9090737418281638</v>
      </c>
      <c r="V35" s="31">
        <v>12</v>
      </c>
      <c r="W35" s="3">
        <f t="shared" si="11"/>
        <v>9</v>
      </c>
      <c r="X35" s="23">
        <f t="shared" si="12"/>
        <v>3.3939088743611801</v>
      </c>
      <c r="Y35" s="3"/>
      <c r="Z35" s="3" t="str">
        <f t="shared" si="13"/>
        <v>H2</v>
      </c>
      <c r="AA35" s="3">
        <f>G35*H35*0.845*11.86*0.37</f>
        <v>1167225.6051156998</v>
      </c>
      <c r="AB35" s="3">
        <f t="shared" si="15"/>
        <v>70103.639946888885</v>
      </c>
      <c r="AC35" s="3">
        <f t="shared" si="16"/>
        <v>192.06476697777777</v>
      </c>
      <c r="AD35" t="s">
        <v>278</v>
      </c>
      <c r="AE35" s="8" t="s">
        <v>229</v>
      </c>
      <c r="AF35">
        <v>310</v>
      </c>
      <c r="AG35" t="s">
        <v>265</v>
      </c>
      <c r="AH35" t="s">
        <v>389</v>
      </c>
      <c r="AI35" s="9">
        <v>46022</v>
      </c>
      <c r="AJ35" s="9">
        <v>46022</v>
      </c>
      <c r="AK35" t="s">
        <v>230</v>
      </c>
      <c r="AL35" s="3">
        <f t="shared" si="17"/>
        <v>314783.3</v>
      </c>
    </row>
    <row r="36" spans="1:38" s="19" customFormat="1" x14ac:dyDescent="0.3">
      <c r="A36" s="15" t="s">
        <v>72</v>
      </c>
      <c r="B36" s="16">
        <v>130</v>
      </c>
      <c r="C36" s="16">
        <v>33</v>
      </c>
      <c r="D36" s="16">
        <v>27</v>
      </c>
      <c r="E36" s="17">
        <f t="shared" si="18"/>
        <v>17.923618171548455</v>
      </c>
      <c r="F36" s="16">
        <v>61965</v>
      </c>
      <c r="G36" s="18">
        <v>1110637</v>
      </c>
      <c r="H36" s="29">
        <f>H6</f>
        <v>0.9</v>
      </c>
      <c r="I36" s="19" t="s">
        <v>109</v>
      </c>
      <c r="J36" s="19" t="s">
        <v>141</v>
      </c>
      <c r="K36" t="str">
        <f t="shared" si="2"/>
        <v>Nei</v>
      </c>
      <c r="L36">
        <f t="shared" si="3"/>
        <v>27</v>
      </c>
      <c r="M36" s="27">
        <f t="shared" si="4"/>
        <v>435.54392156862747</v>
      </c>
      <c r="N36" s="27">
        <f t="shared" si="5"/>
        <v>1615.1607950691723</v>
      </c>
      <c r="O36" s="42">
        <f t="shared" si="6"/>
        <v>97.006654358508854</v>
      </c>
      <c r="P36" s="42">
        <f t="shared" ref="P36:P66" si="19">N36/0.6</f>
        <v>2691.9346584486207</v>
      </c>
      <c r="Q36" s="42">
        <f t="shared" si="8"/>
        <v>21.535477267588966</v>
      </c>
      <c r="R36" s="40">
        <f t="shared" ref="R36:U67" si="20">$P36/(R$1/60)/1000</f>
        <v>10.767738633794483</v>
      </c>
      <c r="S36" s="40">
        <f t="shared" si="20"/>
        <v>5.3838693168972416</v>
      </c>
      <c r="T36" s="40">
        <f t="shared" si="20"/>
        <v>2.6919346584486208</v>
      </c>
      <c r="U36" s="40">
        <f t="shared" si="20"/>
        <v>1.3459673292243104</v>
      </c>
      <c r="V36" s="27">
        <f t="shared" si="10"/>
        <v>18.271599999999999</v>
      </c>
      <c r="W36" s="3">
        <f t="shared" si="11"/>
        <v>13.7037</v>
      </c>
      <c r="X36" s="23">
        <f t="shared" si="12"/>
        <v>1.5715082253397963</v>
      </c>
      <c r="Y36" s="3"/>
      <c r="Z36" s="3" t="str">
        <f t="shared" si="13"/>
        <v>H2</v>
      </c>
      <c r="AA36" s="3">
        <f t="shared" si="14"/>
        <v>3706446.7840256998</v>
      </c>
      <c r="AB36" s="3">
        <f t="shared" si="15"/>
        <v>222609.41645800002</v>
      </c>
      <c r="AC36" s="20">
        <f t="shared" si="16"/>
        <v>609.88881221369866</v>
      </c>
      <c r="AD36" s="19" t="s">
        <v>279</v>
      </c>
      <c r="AE36" s="21" t="s">
        <v>221</v>
      </c>
      <c r="AF36" s="19" t="s">
        <v>222</v>
      </c>
      <c r="AG36" s="19" t="s">
        <v>215</v>
      </c>
      <c r="AH36" s="19" t="s">
        <v>19</v>
      </c>
      <c r="AI36" s="34">
        <v>44561</v>
      </c>
      <c r="AJ36" s="9">
        <v>45291</v>
      </c>
      <c r="AL36" s="3">
        <f t="shared" si="17"/>
        <v>999573.3</v>
      </c>
    </row>
    <row r="37" spans="1:38" x14ac:dyDescent="0.3">
      <c r="A37" s="6" t="s">
        <v>68</v>
      </c>
      <c r="D37">
        <v>25</v>
      </c>
      <c r="E37" s="4">
        <f t="shared" si="18"/>
        <v>11</v>
      </c>
      <c r="F37">
        <v>4990</v>
      </c>
      <c r="G37" s="1">
        <v>54890</v>
      </c>
      <c r="H37" s="29">
        <f t="shared" si="1"/>
        <v>0.65</v>
      </c>
      <c r="I37" t="s">
        <v>123</v>
      </c>
      <c r="J37" t="s">
        <v>123</v>
      </c>
      <c r="K37" t="str">
        <f t="shared" si="2"/>
        <v>Ja</v>
      </c>
      <c r="L37">
        <f t="shared" si="3"/>
        <v>50</v>
      </c>
      <c r="M37" s="27">
        <f t="shared" si="4"/>
        <v>357.5</v>
      </c>
      <c r="N37" s="27">
        <f t="shared" si="5"/>
        <v>1325.7445590277778</v>
      </c>
      <c r="O37" s="27">
        <f t="shared" si="6"/>
        <v>79.624297839506184</v>
      </c>
      <c r="P37" s="27">
        <f t="shared" si="19"/>
        <v>2209.5742650462962</v>
      </c>
      <c r="Q37" s="27">
        <f t="shared" si="8"/>
        <v>17.676594120370371</v>
      </c>
      <c r="R37" s="40">
        <f t="shared" si="20"/>
        <v>8.8382970601851856</v>
      </c>
      <c r="S37" s="40">
        <f t="shared" si="20"/>
        <v>4.4191485300925928</v>
      </c>
      <c r="T37" s="40">
        <f t="shared" si="20"/>
        <v>2.2095742650462964</v>
      </c>
      <c r="U37" s="40">
        <f t="shared" si="20"/>
        <v>1.1047871325231482</v>
      </c>
      <c r="V37" s="27">
        <f t="shared" si="10"/>
        <v>5.8956</v>
      </c>
      <c r="W37" s="3" t="str">
        <f t="shared" si="11"/>
        <v>n/a</v>
      </c>
      <c r="X37" s="23" t="str">
        <f t="shared" si="12"/>
        <v/>
      </c>
      <c r="Y37" s="3" t="s">
        <v>380</v>
      </c>
      <c r="Z37" s="3" t="str">
        <f t="shared" si="13"/>
        <v>n/a</v>
      </c>
      <c r="AA37" s="3">
        <f t="shared" si="14"/>
        <v>132296.91267649998</v>
      </c>
      <c r="AB37" s="3">
        <f t="shared" si="15"/>
        <v>7945.7605211111104</v>
      </c>
      <c r="AC37" s="3">
        <f t="shared" si="16"/>
        <v>21.769206907153727</v>
      </c>
      <c r="AD37" t="s">
        <v>280</v>
      </c>
      <c r="AE37" s="8" t="s">
        <v>229</v>
      </c>
      <c r="AF37">
        <v>392</v>
      </c>
      <c r="AG37" t="s">
        <v>215</v>
      </c>
      <c r="AH37" t="s">
        <v>389</v>
      </c>
      <c r="AI37" s="9">
        <v>46022</v>
      </c>
      <c r="AJ37" s="9">
        <v>46022</v>
      </c>
      <c r="AK37" t="s">
        <v>281</v>
      </c>
      <c r="AL37" s="3">
        <f t="shared" si="17"/>
        <v>35678.5</v>
      </c>
    </row>
    <row r="38" spans="1:38" x14ac:dyDescent="0.3">
      <c r="A38" s="10" t="s">
        <v>69</v>
      </c>
      <c r="B38">
        <v>12</v>
      </c>
      <c r="C38">
        <v>36</v>
      </c>
      <c r="D38">
        <v>25</v>
      </c>
      <c r="E38" s="4">
        <f t="shared" si="18"/>
        <v>11</v>
      </c>
      <c r="F38">
        <v>30600</v>
      </c>
      <c r="G38" s="1">
        <v>336600</v>
      </c>
      <c r="H38" s="29">
        <f t="shared" si="1"/>
        <v>0.65</v>
      </c>
      <c r="I38" t="s">
        <v>142</v>
      </c>
      <c r="J38" t="s">
        <v>143</v>
      </c>
      <c r="K38" t="str">
        <f t="shared" si="2"/>
        <v>Nei</v>
      </c>
      <c r="L38">
        <f t="shared" si="3"/>
        <v>25</v>
      </c>
      <c r="M38" s="27">
        <f t="shared" si="4"/>
        <v>178.75</v>
      </c>
      <c r="N38" s="27">
        <f t="shared" si="5"/>
        <v>662.87227951388888</v>
      </c>
      <c r="O38" s="27">
        <f t="shared" si="6"/>
        <v>39.812148919753092</v>
      </c>
      <c r="P38" s="27">
        <f t="shared" si="19"/>
        <v>1104.7871325231481</v>
      </c>
      <c r="Q38" s="27">
        <f t="shared" si="8"/>
        <v>8.8382970601851856</v>
      </c>
      <c r="R38" s="40">
        <f t="shared" si="20"/>
        <v>4.4191485300925928</v>
      </c>
      <c r="S38" s="40">
        <f t="shared" si="20"/>
        <v>2.2095742650462964</v>
      </c>
      <c r="T38" s="40">
        <f t="shared" si="20"/>
        <v>1.1047871325231482</v>
      </c>
      <c r="U38" s="40">
        <f t="shared" si="20"/>
        <v>0.5523935662615741</v>
      </c>
      <c r="V38" s="27">
        <f t="shared" si="10"/>
        <v>7.0380000000000003</v>
      </c>
      <c r="W38" s="3">
        <f t="shared" si="11"/>
        <v>5.2785000000000002</v>
      </c>
      <c r="X38" s="23">
        <f t="shared" si="12"/>
        <v>1.6743955783243696</v>
      </c>
      <c r="Y38" s="3"/>
      <c r="Z38" s="3" t="str">
        <f t="shared" si="13"/>
        <v>H2</v>
      </c>
      <c r="AA38" s="3">
        <f t="shared" si="14"/>
        <v>811279.66490999993</v>
      </c>
      <c r="AB38" s="3">
        <f t="shared" si="15"/>
        <v>48725.505400000002</v>
      </c>
      <c r="AC38" s="3">
        <f t="shared" si="16"/>
        <v>133.49453534246575</v>
      </c>
      <c r="AD38" t="s">
        <v>282</v>
      </c>
      <c r="AE38" s="8" t="s">
        <v>283</v>
      </c>
      <c r="AF38">
        <v>5</v>
      </c>
      <c r="AG38" t="s">
        <v>215</v>
      </c>
      <c r="AH38" t="s">
        <v>389</v>
      </c>
      <c r="AI38" s="9">
        <v>45657</v>
      </c>
      <c r="AJ38" s="9">
        <v>47483</v>
      </c>
      <c r="AL38" s="3">
        <f t="shared" si="17"/>
        <v>218790</v>
      </c>
    </row>
    <row r="39" spans="1:38" x14ac:dyDescent="0.3">
      <c r="A39" s="10" t="s">
        <v>70</v>
      </c>
      <c r="B39">
        <v>48</v>
      </c>
      <c r="C39">
        <v>24</v>
      </c>
      <c r="D39">
        <v>25</v>
      </c>
      <c r="E39" s="4">
        <f t="shared" si="18"/>
        <v>19.800006890374146</v>
      </c>
      <c r="F39">
        <v>29026</v>
      </c>
      <c r="G39" s="1">
        <v>574715</v>
      </c>
      <c r="H39" s="29">
        <f t="shared" si="1"/>
        <v>0.65</v>
      </c>
      <c r="I39" t="s">
        <v>144</v>
      </c>
      <c r="J39" t="s">
        <v>144</v>
      </c>
      <c r="K39" t="str">
        <f t="shared" si="2"/>
        <v>Ja</v>
      </c>
      <c r="L39">
        <f t="shared" si="3"/>
        <v>50</v>
      </c>
      <c r="M39" s="27">
        <f t="shared" si="4"/>
        <v>643.50022393715972</v>
      </c>
      <c r="N39" s="27">
        <f t="shared" si="5"/>
        <v>2386.3410366932762</v>
      </c>
      <c r="O39" s="27">
        <f t="shared" si="6"/>
        <v>143.32378598758416</v>
      </c>
      <c r="P39" s="27">
        <f t="shared" si="19"/>
        <v>3977.2350611554607</v>
      </c>
      <c r="Q39" s="27">
        <f t="shared" si="8"/>
        <v>31.817880489243684</v>
      </c>
      <c r="R39" s="40">
        <f t="shared" si="20"/>
        <v>15.908940244621842</v>
      </c>
      <c r="S39" s="40">
        <f t="shared" si="20"/>
        <v>7.9544701223109211</v>
      </c>
      <c r="T39" s="40">
        <f t="shared" si="20"/>
        <v>3.9772350611554605</v>
      </c>
      <c r="U39" s="40">
        <f t="shared" si="20"/>
        <v>1.9886175305777303</v>
      </c>
      <c r="V39" s="27">
        <f t="shared" si="10"/>
        <v>10.465199999999999</v>
      </c>
      <c r="W39" s="3">
        <f t="shared" si="11"/>
        <v>7.8488999999999995</v>
      </c>
      <c r="X39" s="23">
        <f t="shared" si="12"/>
        <v>4.0538012319234147</v>
      </c>
      <c r="Y39" s="3"/>
      <c r="Z39" s="3" t="str">
        <f t="shared" si="13"/>
        <v>H2</v>
      </c>
      <c r="AA39" s="3">
        <f t="shared" si="14"/>
        <v>1385188.92637775</v>
      </c>
      <c r="AB39" s="3">
        <f t="shared" si="15"/>
        <v>83194.530112777778</v>
      </c>
      <c r="AC39" s="3">
        <f t="shared" si="16"/>
        <v>227.9302194870624</v>
      </c>
      <c r="AD39" t="s">
        <v>70</v>
      </c>
      <c r="AE39" s="8" t="s">
        <v>234</v>
      </c>
      <c r="AF39" t="s">
        <v>284</v>
      </c>
      <c r="AG39" t="s">
        <v>215</v>
      </c>
      <c r="AH39" t="s">
        <v>15</v>
      </c>
      <c r="AI39" s="9">
        <v>44561</v>
      </c>
      <c r="AJ39" s="9">
        <v>44561</v>
      </c>
      <c r="AK39" t="s">
        <v>285</v>
      </c>
      <c r="AL39" s="3">
        <f t="shared" si="17"/>
        <v>373564.75</v>
      </c>
    </row>
    <row r="40" spans="1:38" x14ac:dyDescent="0.3">
      <c r="A40" s="6" t="s">
        <v>66</v>
      </c>
      <c r="B40">
        <v>32</v>
      </c>
      <c r="C40">
        <v>19.899999999999999</v>
      </c>
      <c r="D40">
        <v>24</v>
      </c>
      <c r="E40" s="4">
        <f t="shared" si="18"/>
        <v>11</v>
      </c>
      <c r="F40">
        <v>6003</v>
      </c>
      <c r="G40" s="1">
        <v>66033</v>
      </c>
      <c r="H40" s="29">
        <f t="shared" si="1"/>
        <v>0.65</v>
      </c>
      <c r="I40" t="s">
        <v>145</v>
      </c>
      <c r="J40" t="s">
        <v>118</v>
      </c>
      <c r="K40" t="str">
        <f t="shared" si="2"/>
        <v>Nei</v>
      </c>
      <c r="L40">
        <f t="shared" si="3"/>
        <v>24</v>
      </c>
      <c r="M40" s="27">
        <f t="shared" si="4"/>
        <v>171.6</v>
      </c>
      <c r="N40" s="27">
        <f t="shared" si="5"/>
        <v>636.35738833333335</v>
      </c>
      <c r="O40" s="27">
        <f t="shared" si="6"/>
        <v>38.219662962962964</v>
      </c>
      <c r="P40" s="27">
        <f t="shared" si="19"/>
        <v>1060.5956472222224</v>
      </c>
      <c r="Q40" s="27">
        <f t="shared" si="8"/>
        <v>8.4847651777777795</v>
      </c>
      <c r="R40" s="40">
        <f t="shared" si="20"/>
        <v>4.2423825888888897</v>
      </c>
      <c r="S40" s="40">
        <f t="shared" si="20"/>
        <v>2.1211912944444449</v>
      </c>
      <c r="T40" s="40">
        <f t="shared" si="20"/>
        <v>1.0605956472222224</v>
      </c>
      <c r="U40" s="40">
        <f t="shared" si="20"/>
        <v>0.53029782361111122</v>
      </c>
      <c r="V40" s="27">
        <f t="shared" si="10"/>
        <v>8.9420000000000002</v>
      </c>
      <c r="W40" s="3" t="str">
        <f t="shared" si="11"/>
        <v>n/a</v>
      </c>
      <c r="X40" s="23" t="str">
        <f t="shared" si="12"/>
        <v/>
      </c>
      <c r="Y40" s="3" t="s">
        <v>380</v>
      </c>
      <c r="Z40" s="3" t="str">
        <f t="shared" si="13"/>
        <v>n/a</v>
      </c>
      <c r="AA40" s="3">
        <f t="shared" si="14"/>
        <v>159153.98132205001</v>
      </c>
      <c r="AB40" s="3">
        <f t="shared" si="15"/>
        <v>9558.7976770000005</v>
      </c>
      <c r="AC40" s="3">
        <f t="shared" si="16"/>
        <v>26.188486786301372</v>
      </c>
      <c r="AK40" t="s">
        <v>286</v>
      </c>
      <c r="AL40" s="3">
        <f t="shared" si="17"/>
        <v>42921.450000000004</v>
      </c>
    </row>
    <row r="41" spans="1:38" x14ac:dyDescent="0.3">
      <c r="A41" s="10" t="s">
        <v>67</v>
      </c>
      <c r="B41">
        <v>146</v>
      </c>
      <c r="C41">
        <v>25</v>
      </c>
      <c r="D41">
        <v>24</v>
      </c>
      <c r="E41" s="4">
        <f t="shared" si="18"/>
        <v>19.800003713606653</v>
      </c>
      <c r="F41">
        <v>53856</v>
      </c>
      <c r="G41" s="1">
        <v>1066349</v>
      </c>
      <c r="H41" s="29">
        <f t="shared" si="1"/>
        <v>0.65</v>
      </c>
      <c r="I41" t="s">
        <v>112</v>
      </c>
      <c r="J41" t="s">
        <v>112</v>
      </c>
      <c r="K41" t="str">
        <f t="shared" si="2"/>
        <v>Ja</v>
      </c>
      <c r="L41">
        <f t="shared" si="3"/>
        <v>48</v>
      </c>
      <c r="M41" s="27">
        <f t="shared" si="4"/>
        <v>617.76011586452751</v>
      </c>
      <c r="N41" s="27">
        <f t="shared" si="5"/>
        <v>2290.8870276692783</v>
      </c>
      <c r="O41" s="27">
        <f t="shared" si="6"/>
        <v>137.59081247262932</v>
      </c>
      <c r="P41" s="27">
        <f t="shared" si="19"/>
        <v>3818.1450461154641</v>
      </c>
      <c r="Q41" s="27">
        <f t="shared" si="8"/>
        <v>30.545160368923714</v>
      </c>
      <c r="R41" s="40">
        <f t="shared" si="20"/>
        <v>15.272580184461857</v>
      </c>
      <c r="S41" s="40">
        <f t="shared" si="20"/>
        <v>7.6362900922309285</v>
      </c>
      <c r="T41" s="40">
        <f t="shared" si="20"/>
        <v>3.8181450461154642</v>
      </c>
      <c r="U41" s="40">
        <f t="shared" si="20"/>
        <v>1.9090725230577321</v>
      </c>
      <c r="V41" s="27">
        <f t="shared" si="10"/>
        <v>19.794800000000002</v>
      </c>
      <c r="W41" s="3">
        <f t="shared" si="11"/>
        <v>14.846100000000002</v>
      </c>
      <c r="X41" s="23">
        <f t="shared" si="12"/>
        <v>2.0574534974790493</v>
      </c>
      <c r="Y41" s="3"/>
      <c r="Z41" s="3" t="str">
        <f t="shared" si="13"/>
        <v>H2</v>
      </c>
      <c r="AA41" s="3">
        <f t="shared" si="14"/>
        <v>2570134.4604786499</v>
      </c>
      <c r="AB41" s="3">
        <f t="shared" si="15"/>
        <v>154362.4300587778</v>
      </c>
      <c r="AC41" s="3">
        <f t="shared" si="16"/>
        <v>422.91076728432273</v>
      </c>
      <c r="AD41" t="s">
        <v>257</v>
      </c>
      <c r="AE41" s="8" t="s">
        <v>226</v>
      </c>
      <c r="AF41" t="s">
        <v>259</v>
      </c>
      <c r="AG41" t="s">
        <v>215</v>
      </c>
      <c r="AH41" t="s">
        <v>15</v>
      </c>
      <c r="AI41" s="9">
        <v>44074</v>
      </c>
      <c r="AJ41" s="9">
        <v>44074</v>
      </c>
      <c r="AK41" t="s">
        <v>240</v>
      </c>
      <c r="AL41" s="3">
        <f t="shared" si="17"/>
        <v>693126.85</v>
      </c>
    </row>
    <row r="42" spans="1:38" x14ac:dyDescent="0.3">
      <c r="A42" s="10" t="s">
        <v>64</v>
      </c>
      <c r="B42">
        <v>48</v>
      </c>
      <c r="C42">
        <v>24</v>
      </c>
      <c r="D42">
        <v>22</v>
      </c>
      <c r="E42" s="4">
        <f t="shared" si="18"/>
        <v>19.799992646788485</v>
      </c>
      <c r="F42">
        <v>27199</v>
      </c>
      <c r="G42" s="1">
        <v>538540</v>
      </c>
      <c r="H42" s="29">
        <f t="shared" si="1"/>
        <v>0.65</v>
      </c>
      <c r="I42" t="s">
        <v>64</v>
      </c>
      <c r="J42" t="s">
        <v>64</v>
      </c>
      <c r="K42" t="str">
        <f t="shared" si="2"/>
        <v>Ja</v>
      </c>
      <c r="L42">
        <f t="shared" si="3"/>
        <v>44</v>
      </c>
      <c r="M42" s="27">
        <f t="shared" si="4"/>
        <v>566.27978969815069</v>
      </c>
      <c r="N42" s="27">
        <f t="shared" si="5"/>
        <v>2099.9786016215876</v>
      </c>
      <c r="O42" s="27">
        <f t="shared" si="6"/>
        <v>126.1248409382335</v>
      </c>
      <c r="P42" s="27">
        <f t="shared" si="19"/>
        <v>3499.9643360359796</v>
      </c>
      <c r="Q42" s="27">
        <f t="shared" si="8"/>
        <v>27.999714688287838</v>
      </c>
      <c r="R42" s="40">
        <f t="shared" si="20"/>
        <v>13.999857344143919</v>
      </c>
      <c r="S42" s="40">
        <f t="shared" si="20"/>
        <v>6.9999286720719596</v>
      </c>
      <c r="T42" s="40">
        <f t="shared" si="20"/>
        <v>3.4999643360359798</v>
      </c>
      <c r="U42" s="40">
        <f t="shared" si="20"/>
        <v>1.7499821680179899</v>
      </c>
      <c r="V42" s="27">
        <f t="shared" si="10"/>
        <v>10.465199999999999</v>
      </c>
      <c r="W42" s="3">
        <f t="shared" si="11"/>
        <v>7.8488999999999995</v>
      </c>
      <c r="X42" s="23">
        <f t="shared" si="12"/>
        <v>3.5673425178417153</v>
      </c>
      <c r="Y42" s="3"/>
      <c r="Z42" s="3" t="str">
        <f t="shared" si="13"/>
        <v>H2</v>
      </c>
      <c r="AA42" s="3">
        <f t="shared" si="14"/>
        <v>1297999.2594789998</v>
      </c>
      <c r="AB42" s="3">
        <f t="shared" si="15"/>
        <v>77957.913482222211</v>
      </c>
      <c r="AC42" s="3">
        <f t="shared" si="16"/>
        <v>213.58332460882798</v>
      </c>
      <c r="AD42" t="s">
        <v>287</v>
      </c>
      <c r="AE42" s="8" t="s">
        <v>288</v>
      </c>
      <c r="AF42" t="s">
        <v>289</v>
      </c>
      <c r="AG42" t="s">
        <v>215</v>
      </c>
      <c r="AH42" t="s">
        <v>15</v>
      </c>
      <c r="AI42" s="9">
        <v>44316</v>
      </c>
      <c r="AJ42" s="9">
        <v>44926</v>
      </c>
      <c r="AL42" s="3">
        <f t="shared" si="17"/>
        <v>350051</v>
      </c>
    </row>
    <row r="43" spans="1:38" x14ac:dyDescent="0.3">
      <c r="A43" s="6" t="s">
        <v>65</v>
      </c>
      <c r="B43">
        <v>23</v>
      </c>
      <c r="C43">
        <v>19.899999999999999</v>
      </c>
      <c r="D43">
        <v>22</v>
      </c>
      <c r="E43" s="4">
        <f t="shared" si="18"/>
        <v>11</v>
      </c>
      <c r="F43">
        <v>14280</v>
      </c>
      <c r="G43" s="1">
        <v>157080</v>
      </c>
      <c r="H43" s="29">
        <f t="shared" si="1"/>
        <v>0.65</v>
      </c>
      <c r="I43" t="s">
        <v>146</v>
      </c>
      <c r="J43" t="s">
        <v>146</v>
      </c>
      <c r="K43" t="str">
        <f t="shared" si="2"/>
        <v>Ja</v>
      </c>
      <c r="L43">
        <f t="shared" si="3"/>
        <v>44</v>
      </c>
      <c r="M43" s="27">
        <f t="shared" si="4"/>
        <v>314.60000000000002</v>
      </c>
      <c r="N43" s="27">
        <f t="shared" si="5"/>
        <v>1166.6552119444445</v>
      </c>
      <c r="O43" s="27">
        <f t="shared" si="6"/>
        <v>70.069382098765445</v>
      </c>
      <c r="P43" s="27">
        <f t="shared" si="19"/>
        <v>1944.4253532407411</v>
      </c>
      <c r="Q43" s="27">
        <f t="shared" si="8"/>
        <v>15.555402825925928</v>
      </c>
      <c r="R43" s="40">
        <f t="shared" si="20"/>
        <v>7.7777014129629638</v>
      </c>
      <c r="S43" s="40">
        <f t="shared" si="20"/>
        <v>3.8888507064814819</v>
      </c>
      <c r="T43" s="40">
        <f t="shared" si="20"/>
        <v>1.944425353240741</v>
      </c>
      <c r="U43" s="40">
        <f t="shared" si="20"/>
        <v>0.97221267662037048</v>
      </c>
      <c r="V43" s="27">
        <f t="shared" si="10"/>
        <v>8.0852000000000004</v>
      </c>
      <c r="W43" s="3" t="str">
        <f t="shared" si="11"/>
        <v>n/a</v>
      </c>
      <c r="X43" s="23" t="str">
        <f t="shared" si="12"/>
        <v/>
      </c>
      <c r="Y43" s="3" t="s">
        <v>380</v>
      </c>
      <c r="Z43" s="3" t="str">
        <f t="shared" si="13"/>
        <v>n/a</v>
      </c>
      <c r="AA43" s="3">
        <f t="shared" si="14"/>
        <v>378597.176958</v>
      </c>
      <c r="AB43" s="3">
        <f t="shared" si="15"/>
        <v>22738.569186666668</v>
      </c>
      <c r="AC43" s="3">
        <f t="shared" si="16"/>
        <v>62.297449826484019</v>
      </c>
      <c r="AD43" t="s">
        <v>290</v>
      </c>
      <c r="AF43" t="s">
        <v>291</v>
      </c>
      <c r="AG43" t="s">
        <v>215</v>
      </c>
      <c r="AH43" t="s">
        <v>15</v>
      </c>
      <c r="AI43" s="9">
        <v>43921</v>
      </c>
      <c r="AK43" t="s">
        <v>292</v>
      </c>
      <c r="AL43" s="3">
        <f t="shared" si="17"/>
        <v>102102</v>
      </c>
    </row>
    <row r="44" spans="1:38" x14ac:dyDescent="0.3">
      <c r="A44" s="13" t="s">
        <v>61</v>
      </c>
      <c r="B44">
        <v>80</v>
      </c>
      <c r="C44">
        <v>26</v>
      </c>
      <c r="D44">
        <v>21</v>
      </c>
      <c r="E44" s="4">
        <f t="shared" si="18"/>
        <v>19.799975576993528</v>
      </c>
      <c r="F44">
        <v>8189</v>
      </c>
      <c r="G44" s="1">
        <v>162142</v>
      </c>
      <c r="H44" s="29">
        <f t="shared" si="1"/>
        <v>0.65</v>
      </c>
      <c r="I44" t="s">
        <v>147</v>
      </c>
      <c r="J44" t="s">
        <v>148</v>
      </c>
      <c r="K44" t="str">
        <f t="shared" si="2"/>
        <v>Nei</v>
      </c>
      <c r="L44">
        <f t="shared" si="3"/>
        <v>21</v>
      </c>
      <c r="M44" s="27">
        <f t="shared" si="4"/>
        <v>270.26966662596169</v>
      </c>
      <c r="N44" s="27">
        <f t="shared" si="5"/>
        <v>1002.2616503485878</v>
      </c>
      <c r="O44" s="27">
        <f t="shared" si="6"/>
        <v>60.195894915831104</v>
      </c>
      <c r="P44" s="27">
        <f t="shared" si="19"/>
        <v>1670.436083914313</v>
      </c>
      <c r="Q44" s="27">
        <f t="shared" si="8"/>
        <v>13.363488671314505</v>
      </c>
      <c r="R44" s="40">
        <f t="shared" si="20"/>
        <v>6.6817443356572523</v>
      </c>
      <c r="S44" s="40">
        <f t="shared" si="20"/>
        <v>3.3408721678286262</v>
      </c>
      <c r="T44" s="40">
        <f t="shared" si="20"/>
        <v>1.6704360839143131</v>
      </c>
      <c r="U44" s="40">
        <f t="shared" si="20"/>
        <v>0.83521804195715654</v>
      </c>
      <c r="V44" s="27">
        <f t="shared" si="10"/>
        <v>13.511600000000001</v>
      </c>
      <c r="W44" s="3">
        <f t="shared" si="11"/>
        <v>10.133700000000001</v>
      </c>
      <c r="X44" s="23">
        <f t="shared" si="12"/>
        <v>1.3187176126503155</v>
      </c>
      <c r="Y44" s="3"/>
      <c r="Z44" s="3" t="str">
        <f t="shared" si="13"/>
        <v>H2</v>
      </c>
      <c r="AA44" s="3">
        <f t="shared" si="14"/>
        <v>390797.70477669995</v>
      </c>
      <c r="AB44" s="3">
        <f t="shared" si="15"/>
        <v>23471.33362022222</v>
      </c>
      <c r="AC44" s="3">
        <f t="shared" si="16"/>
        <v>64.305023617047183</v>
      </c>
      <c r="AD44" s="13" t="s">
        <v>293</v>
      </c>
      <c r="AE44" s="8" t="s">
        <v>294</v>
      </c>
      <c r="AF44" t="s">
        <v>295</v>
      </c>
      <c r="AG44" t="s">
        <v>215</v>
      </c>
      <c r="AH44" t="s">
        <v>15</v>
      </c>
      <c r="AI44" s="9">
        <v>44092</v>
      </c>
      <c r="AJ44" s="9">
        <v>44092</v>
      </c>
      <c r="AL44" s="3">
        <f t="shared" si="17"/>
        <v>105392.3</v>
      </c>
    </row>
    <row r="45" spans="1:38" x14ac:dyDescent="0.3">
      <c r="A45" s="10" t="s">
        <v>62</v>
      </c>
      <c r="B45">
        <v>147</v>
      </c>
      <c r="C45">
        <v>30</v>
      </c>
      <c r="D45">
        <v>21</v>
      </c>
      <c r="E45" s="4">
        <f t="shared" si="18"/>
        <v>22</v>
      </c>
      <c r="F45">
        <v>69000</v>
      </c>
      <c r="G45" s="1">
        <v>1518000</v>
      </c>
      <c r="H45" s="29">
        <f t="shared" si="1"/>
        <v>0.65</v>
      </c>
      <c r="I45" t="s">
        <v>149</v>
      </c>
      <c r="J45" t="s">
        <v>149</v>
      </c>
      <c r="K45" t="str">
        <f t="shared" si="2"/>
        <v>Ja</v>
      </c>
      <c r="L45">
        <f t="shared" si="3"/>
        <v>42</v>
      </c>
      <c r="M45" s="27">
        <f t="shared" si="4"/>
        <v>600.6</v>
      </c>
      <c r="N45" s="27">
        <f t="shared" si="5"/>
        <v>2227.2508591666669</v>
      </c>
      <c r="O45" s="27">
        <f t="shared" si="6"/>
        <v>133.76882037037041</v>
      </c>
      <c r="P45" s="27">
        <f t="shared" si="19"/>
        <v>3712.0847652777784</v>
      </c>
      <c r="Q45" s="27">
        <f t="shared" si="8"/>
        <v>29.696678122222227</v>
      </c>
      <c r="R45" s="40">
        <f t="shared" si="20"/>
        <v>14.848339061111114</v>
      </c>
      <c r="S45" s="40">
        <f t="shared" si="20"/>
        <v>7.4241695305555568</v>
      </c>
      <c r="T45" s="40">
        <f t="shared" si="20"/>
        <v>3.7120847652777784</v>
      </c>
      <c r="U45" s="40">
        <f t="shared" si="20"/>
        <v>1.8560423826388892</v>
      </c>
      <c r="V45" s="27">
        <f t="shared" si="10"/>
        <v>19.89</v>
      </c>
      <c r="W45" s="3">
        <f t="shared" si="11"/>
        <v>14.9175</v>
      </c>
      <c r="X45" s="23">
        <f t="shared" si="12"/>
        <v>1.9907275429678046</v>
      </c>
      <c r="Y45" s="3"/>
      <c r="Z45" s="3" t="str">
        <f t="shared" si="13"/>
        <v>H2</v>
      </c>
      <c r="AA45" s="3">
        <f t="shared" si="14"/>
        <v>3658712.2142999996</v>
      </c>
      <c r="AB45" s="3">
        <f t="shared" si="15"/>
        <v>219742.47533333334</v>
      </c>
      <c r="AC45" s="3">
        <f t="shared" si="16"/>
        <v>602.03417899543376</v>
      </c>
      <c r="AD45" t="s">
        <v>252</v>
      </c>
      <c r="AE45" s="8" t="s">
        <v>296</v>
      </c>
      <c r="AF45">
        <v>24</v>
      </c>
      <c r="AG45" t="s">
        <v>215</v>
      </c>
      <c r="AH45" t="s">
        <v>8</v>
      </c>
      <c r="AI45" s="9">
        <v>45657</v>
      </c>
      <c r="AJ45" s="9">
        <v>46387</v>
      </c>
      <c r="AK45" t="s">
        <v>240</v>
      </c>
      <c r="AL45" s="3">
        <f t="shared" si="17"/>
        <v>986700</v>
      </c>
    </row>
    <row r="46" spans="1:38" x14ac:dyDescent="0.3">
      <c r="A46" s="10" t="s">
        <v>63</v>
      </c>
      <c r="B46">
        <v>180</v>
      </c>
      <c r="C46">
        <v>30</v>
      </c>
      <c r="D46">
        <v>21</v>
      </c>
      <c r="E46" s="4">
        <f t="shared" si="18"/>
        <v>22</v>
      </c>
      <c r="F46">
        <v>122094</v>
      </c>
      <c r="G46" s="1">
        <v>2686068</v>
      </c>
      <c r="H46" s="29">
        <f t="shared" si="1"/>
        <v>0.65</v>
      </c>
      <c r="I46" t="s">
        <v>127</v>
      </c>
      <c r="J46" t="s">
        <v>150</v>
      </c>
      <c r="K46" t="str">
        <f t="shared" si="2"/>
        <v>Nei</v>
      </c>
      <c r="L46">
        <f t="shared" si="3"/>
        <v>21</v>
      </c>
      <c r="M46" s="27">
        <f t="shared" si="4"/>
        <v>300.3</v>
      </c>
      <c r="N46" s="27">
        <f t="shared" si="5"/>
        <v>1113.6254295833335</v>
      </c>
      <c r="O46" s="27">
        <f t="shared" si="6"/>
        <v>66.884410185185203</v>
      </c>
      <c r="P46" s="27">
        <f t="shared" si="19"/>
        <v>1856.0423826388892</v>
      </c>
      <c r="Q46" s="27">
        <f t="shared" si="8"/>
        <v>14.848339061111114</v>
      </c>
      <c r="R46" s="40">
        <f t="shared" si="20"/>
        <v>7.4241695305555568</v>
      </c>
      <c r="S46" s="40">
        <f t="shared" si="20"/>
        <v>3.7120847652777784</v>
      </c>
      <c r="T46" s="40">
        <f t="shared" si="20"/>
        <v>1.8560423826388892</v>
      </c>
      <c r="U46" s="40">
        <f t="shared" si="20"/>
        <v>0.9280211913194446</v>
      </c>
      <c r="V46" s="27">
        <f t="shared" si="10"/>
        <v>23.031600000000005</v>
      </c>
      <c r="W46" s="3">
        <f t="shared" si="11"/>
        <v>17.273700000000005</v>
      </c>
      <c r="X46" s="23">
        <f t="shared" si="12"/>
        <v>0.85959227386785164</v>
      </c>
      <c r="Y46" s="3"/>
      <c r="Z46" s="3" t="str">
        <f t="shared" si="13"/>
        <v>Batteri</v>
      </c>
      <c r="AA46" s="3">
        <f t="shared" si="14"/>
        <v>6474011.725981799</v>
      </c>
      <c r="AB46" s="3">
        <f t="shared" si="15"/>
        <v>388829.533092</v>
      </c>
      <c r="AC46" s="3">
        <f t="shared" si="16"/>
        <v>1065.2863920328766</v>
      </c>
      <c r="AD46" t="s">
        <v>263</v>
      </c>
      <c r="AE46" s="8" t="s">
        <v>249</v>
      </c>
      <c r="AF46" t="s">
        <v>250</v>
      </c>
      <c r="AG46" t="s">
        <v>215</v>
      </c>
      <c r="AH46" t="s">
        <v>11</v>
      </c>
      <c r="AI46" s="9">
        <v>44561</v>
      </c>
      <c r="AJ46" s="9">
        <v>45657</v>
      </c>
      <c r="AK46" t="s">
        <v>251</v>
      </c>
      <c r="AL46" s="3">
        <f t="shared" si="17"/>
        <v>1745944.2</v>
      </c>
    </row>
    <row r="47" spans="1:38" x14ac:dyDescent="0.3">
      <c r="A47" s="10" t="s">
        <v>57</v>
      </c>
      <c r="B47">
        <v>195</v>
      </c>
      <c r="C47">
        <v>19.899999999999999</v>
      </c>
      <c r="D47">
        <v>17</v>
      </c>
      <c r="E47" s="4">
        <f t="shared" si="18"/>
        <v>33</v>
      </c>
      <c r="F47">
        <v>42436</v>
      </c>
      <c r="G47" s="1">
        <v>1400388</v>
      </c>
      <c r="H47" s="29">
        <f t="shared" si="1"/>
        <v>0.65</v>
      </c>
      <c r="I47" t="s">
        <v>113</v>
      </c>
      <c r="J47" t="s">
        <v>113</v>
      </c>
      <c r="K47" t="str">
        <f t="shared" si="2"/>
        <v>Ja</v>
      </c>
      <c r="L47">
        <f t="shared" si="3"/>
        <v>34</v>
      </c>
      <c r="M47" s="27">
        <f t="shared" si="4"/>
        <v>729.30000000000007</v>
      </c>
      <c r="N47" s="27">
        <f t="shared" si="5"/>
        <v>2704.5189004166668</v>
      </c>
      <c r="O47" s="27">
        <f t="shared" si="6"/>
        <v>162.43356759259262</v>
      </c>
      <c r="P47" s="27">
        <f t="shared" si="19"/>
        <v>4507.5315006944447</v>
      </c>
      <c r="Q47" s="27">
        <f t="shared" si="8"/>
        <v>36.060252005555554</v>
      </c>
      <c r="R47" s="40">
        <f t="shared" si="20"/>
        <v>18.030126002777777</v>
      </c>
      <c r="S47" s="40">
        <f t="shared" si="20"/>
        <v>9.0150630013888886</v>
      </c>
      <c r="T47" s="40">
        <f t="shared" si="20"/>
        <v>4.5075315006944443</v>
      </c>
      <c r="U47" s="40">
        <f t="shared" si="20"/>
        <v>2.2537657503472222</v>
      </c>
      <c r="V47" s="27">
        <f t="shared" si="10"/>
        <v>24.459600000000002</v>
      </c>
      <c r="W47" s="3">
        <f t="shared" si="11"/>
        <v>18.344700000000003</v>
      </c>
      <c r="X47" s="23">
        <f t="shared" si="12"/>
        <v>1.965704100124589</v>
      </c>
      <c r="Y47" s="3"/>
      <c r="Z47" s="3" t="str">
        <f t="shared" si="13"/>
        <v>H2</v>
      </c>
      <c r="AA47" s="3">
        <f t="shared" si="14"/>
        <v>3375241.5549138002</v>
      </c>
      <c r="AB47" s="3">
        <f t="shared" si="15"/>
        <v>202717.21050533335</v>
      </c>
      <c r="AC47" s="3">
        <f t="shared" si="16"/>
        <v>555.38961782283104</v>
      </c>
      <c r="AD47" t="s">
        <v>297</v>
      </c>
      <c r="AE47" s="8" t="s">
        <v>298</v>
      </c>
      <c r="AF47" t="s">
        <v>299</v>
      </c>
      <c r="AG47" t="s">
        <v>215</v>
      </c>
      <c r="AH47" t="s">
        <v>15</v>
      </c>
      <c r="AI47" s="9">
        <v>44926</v>
      </c>
      <c r="AJ47" s="9">
        <v>44926</v>
      </c>
      <c r="AK47" t="s">
        <v>240</v>
      </c>
      <c r="AL47" s="3">
        <f t="shared" si="17"/>
        <v>910252.20000000007</v>
      </c>
    </row>
    <row r="48" spans="1:38" x14ac:dyDescent="0.3">
      <c r="A48" s="10" t="s">
        <v>58</v>
      </c>
      <c r="B48">
        <v>196</v>
      </c>
      <c r="C48">
        <v>28</v>
      </c>
      <c r="D48">
        <v>17</v>
      </c>
      <c r="E48" s="4">
        <f t="shared" si="18"/>
        <v>33</v>
      </c>
      <c r="F48">
        <v>29335</v>
      </c>
      <c r="G48" s="1">
        <v>968055</v>
      </c>
      <c r="H48" s="29">
        <f t="shared" si="1"/>
        <v>0.65</v>
      </c>
      <c r="I48" t="s">
        <v>113</v>
      </c>
      <c r="J48" t="s">
        <v>113</v>
      </c>
      <c r="K48" t="str">
        <f t="shared" si="2"/>
        <v>Ja</v>
      </c>
      <c r="L48">
        <f t="shared" si="3"/>
        <v>34</v>
      </c>
      <c r="M48" s="27">
        <f t="shared" si="4"/>
        <v>729.30000000000007</v>
      </c>
      <c r="N48" s="27">
        <f t="shared" si="5"/>
        <v>2704.5189004166668</v>
      </c>
      <c r="O48" s="27">
        <f t="shared" si="6"/>
        <v>162.43356759259262</v>
      </c>
      <c r="P48" s="27">
        <f t="shared" si="19"/>
        <v>4507.5315006944447</v>
      </c>
      <c r="Q48" s="27">
        <f t="shared" si="8"/>
        <v>36.060252005555554</v>
      </c>
      <c r="R48" s="40">
        <f t="shared" si="20"/>
        <v>18.030126002777777</v>
      </c>
      <c r="S48" s="40">
        <f t="shared" si="20"/>
        <v>9.0150630013888886</v>
      </c>
      <c r="T48" s="40">
        <f t="shared" si="20"/>
        <v>4.5075315006944443</v>
      </c>
      <c r="U48" s="40">
        <f t="shared" si="20"/>
        <v>2.2537657503472222</v>
      </c>
      <c r="V48" s="27">
        <f t="shared" si="10"/>
        <v>24.5548</v>
      </c>
      <c r="W48" s="3">
        <f t="shared" si="11"/>
        <v>18.4161</v>
      </c>
      <c r="X48" s="23">
        <f t="shared" si="12"/>
        <v>1.958082982040473</v>
      </c>
      <c r="Y48" s="3"/>
      <c r="Z48" s="3" t="str">
        <f t="shared" si="13"/>
        <v>H2</v>
      </c>
      <c r="AA48" s="3">
        <f t="shared" si="14"/>
        <v>2333224.4088367498</v>
      </c>
      <c r="AB48" s="3">
        <f t="shared" si="15"/>
        <v>140133.59812833334</v>
      </c>
      <c r="AC48" s="3">
        <f t="shared" si="16"/>
        <v>383.92766610502287</v>
      </c>
      <c r="AD48" t="s">
        <v>300</v>
      </c>
      <c r="AE48" s="8" t="s">
        <v>298</v>
      </c>
      <c r="AF48" t="s">
        <v>301</v>
      </c>
      <c r="AG48" t="s">
        <v>215</v>
      </c>
      <c r="AH48" t="s">
        <v>15</v>
      </c>
      <c r="AI48" s="9">
        <v>44926</v>
      </c>
      <c r="AJ48" s="9">
        <v>44926</v>
      </c>
      <c r="AK48" t="s">
        <v>240</v>
      </c>
      <c r="AL48" s="3">
        <f t="shared" si="17"/>
        <v>629235.75</v>
      </c>
    </row>
    <row r="49" spans="1:38" x14ac:dyDescent="0.3">
      <c r="A49" s="10" t="s">
        <v>59</v>
      </c>
      <c r="B49">
        <v>48</v>
      </c>
      <c r="C49">
        <v>25</v>
      </c>
      <c r="D49">
        <v>17</v>
      </c>
      <c r="E49" s="4">
        <f t="shared" si="18"/>
        <v>16.500073496986623</v>
      </c>
      <c r="F49">
        <v>6803</v>
      </c>
      <c r="G49" s="1">
        <v>112250</v>
      </c>
      <c r="H49" s="29">
        <f t="shared" si="1"/>
        <v>0.65</v>
      </c>
      <c r="I49" t="s">
        <v>151</v>
      </c>
      <c r="J49" t="s">
        <v>151</v>
      </c>
      <c r="K49" t="str">
        <f t="shared" si="2"/>
        <v>Ja</v>
      </c>
      <c r="L49">
        <f t="shared" si="3"/>
        <v>34</v>
      </c>
      <c r="M49" s="27">
        <f t="shared" si="4"/>
        <v>364.65162428340437</v>
      </c>
      <c r="N49" s="27">
        <f t="shared" si="5"/>
        <v>1352.2654736625591</v>
      </c>
      <c r="O49" s="27">
        <f t="shared" si="6"/>
        <v>81.217145565318873</v>
      </c>
      <c r="P49" s="27">
        <f t="shared" si="19"/>
        <v>2253.7757894375986</v>
      </c>
      <c r="Q49" s="27">
        <f t="shared" si="8"/>
        <v>18.030206315500788</v>
      </c>
      <c r="R49" s="40">
        <f t="shared" si="20"/>
        <v>9.0151031577503939</v>
      </c>
      <c r="S49" s="40">
        <f t="shared" si="20"/>
        <v>4.507551578875197</v>
      </c>
      <c r="T49" s="40">
        <f t="shared" si="20"/>
        <v>2.2537757894375985</v>
      </c>
      <c r="U49" s="40">
        <f t="shared" si="20"/>
        <v>1.1268878947187992</v>
      </c>
      <c r="V49" s="27">
        <f t="shared" si="10"/>
        <v>10.465199999999999</v>
      </c>
      <c r="W49" s="3">
        <f t="shared" si="11"/>
        <v>7.8488999999999995</v>
      </c>
      <c r="X49" s="23">
        <f t="shared" si="12"/>
        <v>2.2971634643709042</v>
      </c>
      <c r="Y49" s="3"/>
      <c r="Z49" s="3" t="str">
        <f t="shared" si="13"/>
        <v>H2</v>
      </c>
      <c r="AA49" s="3">
        <f t="shared" si="14"/>
        <v>270547.06591250002</v>
      </c>
      <c r="AB49" s="3">
        <f t="shared" si="15"/>
        <v>16249.07302777778</v>
      </c>
      <c r="AC49" s="3">
        <f t="shared" si="16"/>
        <v>44.518008295281589</v>
      </c>
      <c r="AD49" t="s">
        <v>302</v>
      </c>
      <c r="AE49" s="8" t="s">
        <v>261</v>
      </c>
      <c r="AF49" t="s">
        <v>303</v>
      </c>
      <c r="AG49" t="s">
        <v>215</v>
      </c>
      <c r="AH49" t="s">
        <v>388</v>
      </c>
      <c r="AI49" s="9">
        <v>44926</v>
      </c>
      <c r="AJ49" s="9">
        <v>45657</v>
      </c>
      <c r="AK49" t="s">
        <v>304</v>
      </c>
      <c r="AL49" s="3">
        <f t="shared" si="17"/>
        <v>72962.5</v>
      </c>
    </row>
    <row r="50" spans="1:38" x14ac:dyDescent="0.3">
      <c r="A50" s="10" t="s">
        <v>60</v>
      </c>
      <c r="B50">
        <v>96</v>
      </c>
      <c r="C50">
        <v>28</v>
      </c>
      <c r="D50">
        <v>17</v>
      </c>
      <c r="E50" s="4">
        <f t="shared" si="18"/>
        <v>27.5</v>
      </c>
      <c r="F50">
        <v>12138</v>
      </c>
      <c r="G50" s="1">
        <v>333795</v>
      </c>
      <c r="H50" s="29">
        <f t="shared" si="1"/>
        <v>0.65</v>
      </c>
      <c r="I50" t="s">
        <v>152</v>
      </c>
      <c r="J50" t="s">
        <v>153</v>
      </c>
      <c r="K50" t="str">
        <f t="shared" si="2"/>
        <v>Nei</v>
      </c>
      <c r="L50">
        <f t="shared" si="3"/>
        <v>17</v>
      </c>
      <c r="M50" s="27">
        <f t="shared" si="4"/>
        <v>303.875</v>
      </c>
      <c r="N50" s="27">
        <f t="shared" si="5"/>
        <v>1126.8828751736112</v>
      </c>
      <c r="O50" s="27">
        <f t="shared" si="6"/>
        <v>67.68065316358026</v>
      </c>
      <c r="P50" s="27">
        <f t="shared" si="19"/>
        <v>1878.138125289352</v>
      </c>
      <c r="Q50" s="27">
        <f t="shared" si="8"/>
        <v>15.025105002314817</v>
      </c>
      <c r="R50" s="40">
        <f t="shared" si="20"/>
        <v>7.5125525011574084</v>
      </c>
      <c r="S50" s="40">
        <f t="shared" si="20"/>
        <v>3.7562762505787042</v>
      </c>
      <c r="T50" s="40">
        <f t="shared" si="20"/>
        <v>1.8781381252893521</v>
      </c>
      <c r="U50" s="40">
        <f t="shared" si="20"/>
        <v>0.93906906264467604</v>
      </c>
      <c r="V50" s="31">
        <v>25</v>
      </c>
      <c r="W50" s="3">
        <f t="shared" si="11"/>
        <v>18.75</v>
      </c>
      <c r="X50" s="23">
        <f t="shared" si="12"/>
        <v>0.80133893345679019</v>
      </c>
      <c r="Y50" s="3"/>
      <c r="Z50" s="3" t="str">
        <f t="shared" si="13"/>
        <v>Batteri</v>
      </c>
      <c r="AA50" s="3">
        <f t="shared" si="14"/>
        <v>804519.00103575003</v>
      </c>
      <c r="AB50" s="3">
        <f t="shared" si="15"/>
        <v>48319.459521666671</v>
      </c>
      <c r="AC50" s="3">
        <f t="shared" si="16"/>
        <v>132.38208088127854</v>
      </c>
      <c r="AD50" t="s">
        <v>305</v>
      </c>
      <c r="AE50" s="8" t="s">
        <v>261</v>
      </c>
      <c r="AF50" t="s">
        <v>306</v>
      </c>
      <c r="AG50" t="s">
        <v>265</v>
      </c>
      <c r="AH50" t="s">
        <v>388</v>
      </c>
      <c r="AI50" s="9">
        <v>44681</v>
      </c>
      <c r="AJ50" s="9">
        <v>45657</v>
      </c>
      <c r="AK50" t="s">
        <v>307</v>
      </c>
      <c r="AL50" s="3">
        <f t="shared" si="17"/>
        <v>216966.75</v>
      </c>
    </row>
    <row r="51" spans="1:38" x14ac:dyDescent="0.3">
      <c r="A51" s="10" t="s">
        <v>55</v>
      </c>
      <c r="B51">
        <v>50</v>
      </c>
      <c r="C51">
        <v>27</v>
      </c>
      <c r="D51">
        <v>16</v>
      </c>
      <c r="E51" s="4">
        <f t="shared" si="18"/>
        <v>16.5</v>
      </c>
      <c r="F51">
        <v>21216</v>
      </c>
      <c r="G51" s="1">
        <v>350064</v>
      </c>
      <c r="H51" s="29">
        <f t="shared" si="1"/>
        <v>0.65</v>
      </c>
      <c r="I51" t="s">
        <v>132</v>
      </c>
      <c r="J51" t="s">
        <v>132</v>
      </c>
      <c r="K51" t="str">
        <f t="shared" si="2"/>
        <v>Ja</v>
      </c>
      <c r="L51">
        <f t="shared" si="3"/>
        <v>32</v>
      </c>
      <c r="M51" s="27">
        <f t="shared" si="4"/>
        <v>343.2</v>
      </c>
      <c r="N51" s="27">
        <f t="shared" si="5"/>
        <v>1272.7147766666667</v>
      </c>
      <c r="O51" s="27">
        <f t="shared" si="6"/>
        <v>76.439325925925928</v>
      </c>
      <c r="P51" s="27">
        <f t="shared" si="19"/>
        <v>2121.1912944444448</v>
      </c>
      <c r="Q51" s="27">
        <f t="shared" si="8"/>
        <v>16.969530355555559</v>
      </c>
      <c r="R51" s="40">
        <f t="shared" si="20"/>
        <v>8.4847651777777795</v>
      </c>
      <c r="S51" s="40">
        <f t="shared" si="20"/>
        <v>4.2423825888888897</v>
      </c>
      <c r="T51" s="40">
        <f t="shared" si="20"/>
        <v>2.1211912944444449</v>
      </c>
      <c r="U51" s="40">
        <f t="shared" si="20"/>
        <v>1.0605956472222224</v>
      </c>
      <c r="V51" s="27">
        <f t="shared" si="10"/>
        <v>10.6556</v>
      </c>
      <c r="W51" s="3">
        <f t="shared" si="11"/>
        <v>7.9916999999999998</v>
      </c>
      <c r="X51" s="23">
        <f t="shared" si="12"/>
        <v>2.1233943160473441</v>
      </c>
      <c r="Y51" s="3"/>
      <c r="Z51" s="3" t="str">
        <f t="shared" si="13"/>
        <v>H2</v>
      </c>
      <c r="AA51" s="3">
        <f t="shared" si="14"/>
        <v>843730.85150640004</v>
      </c>
      <c r="AB51" s="3">
        <f t="shared" si="15"/>
        <v>50674.525616000006</v>
      </c>
      <c r="AC51" s="3">
        <f t="shared" si="16"/>
        <v>138.83431675616441</v>
      </c>
      <c r="AD51" t="s">
        <v>308</v>
      </c>
      <c r="AE51" s="8" t="s">
        <v>309</v>
      </c>
      <c r="AF51">
        <v>9</v>
      </c>
      <c r="AG51" t="s">
        <v>215</v>
      </c>
      <c r="AH51" t="s">
        <v>389</v>
      </c>
      <c r="AI51" s="9">
        <v>47238</v>
      </c>
      <c r="AJ51" s="9">
        <v>47238</v>
      </c>
      <c r="AK51" t="s">
        <v>240</v>
      </c>
      <c r="AL51" s="3">
        <f t="shared" si="17"/>
        <v>227541.6</v>
      </c>
    </row>
    <row r="52" spans="1:38" x14ac:dyDescent="0.3">
      <c r="A52" s="10" t="s">
        <v>56</v>
      </c>
      <c r="B52" s="14">
        <v>250</v>
      </c>
      <c r="C52" s="14">
        <v>33</v>
      </c>
      <c r="D52">
        <v>16</v>
      </c>
      <c r="E52" s="28">
        <v>20</v>
      </c>
      <c r="G52" s="1">
        <v>271643</v>
      </c>
      <c r="H52" s="29">
        <f>H6</f>
        <v>0.9</v>
      </c>
      <c r="I52" t="s">
        <v>6</v>
      </c>
      <c r="J52" t="s">
        <v>6</v>
      </c>
      <c r="K52" t="str">
        <f t="shared" si="2"/>
        <v>Ja</v>
      </c>
      <c r="L52">
        <f t="shared" si="3"/>
        <v>32</v>
      </c>
      <c r="M52" s="27">
        <f t="shared" si="4"/>
        <v>576</v>
      </c>
      <c r="N52" s="27">
        <f t="shared" si="5"/>
        <v>2136.0248000000001</v>
      </c>
      <c r="O52" s="27">
        <f t="shared" si="6"/>
        <v>128.2897777777778</v>
      </c>
      <c r="P52" s="27">
        <f t="shared" si="19"/>
        <v>3560.0413333333336</v>
      </c>
      <c r="Q52" s="27">
        <f t="shared" si="8"/>
        <v>28.480330666666667</v>
      </c>
      <c r="R52" s="40">
        <f t="shared" si="20"/>
        <v>14.240165333333334</v>
      </c>
      <c r="S52" s="40">
        <f t="shared" si="20"/>
        <v>7.1200826666666668</v>
      </c>
      <c r="T52" s="40">
        <f t="shared" si="20"/>
        <v>3.5600413333333334</v>
      </c>
      <c r="U52" s="40">
        <f t="shared" si="20"/>
        <v>1.7800206666666667</v>
      </c>
      <c r="V52" s="27">
        <f t="shared" si="10"/>
        <v>29.695599999999999</v>
      </c>
      <c r="W52" s="3">
        <f t="shared" si="11"/>
        <v>22.271699999999999</v>
      </c>
      <c r="X52" s="23">
        <f t="shared" si="12"/>
        <v>1.278767703707695</v>
      </c>
      <c r="Y52" s="3" t="s">
        <v>376</v>
      </c>
      <c r="Z52" s="3" t="str">
        <f t="shared" si="13"/>
        <v>H2</v>
      </c>
      <c r="AA52" s="3">
        <f t="shared" si="14"/>
        <v>906534.1094823</v>
      </c>
      <c r="AB52" s="3">
        <f t="shared" si="15"/>
        <v>54446.493062000001</v>
      </c>
      <c r="AC52" s="3">
        <f t="shared" ref="AC52:AC60" si="21">AB52/365</f>
        <v>149.16847414246575</v>
      </c>
      <c r="AD52" t="s">
        <v>326</v>
      </c>
      <c r="AE52" s="8" t="s">
        <v>310</v>
      </c>
      <c r="AF52" t="s">
        <v>311</v>
      </c>
      <c r="AG52" t="s">
        <v>215</v>
      </c>
      <c r="AH52" t="s">
        <v>6</v>
      </c>
      <c r="AI52" s="9">
        <v>45292</v>
      </c>
      <c r="AJ52" s="9">
        <v>45292</v>
      </c>
      <c r="AK52" t="s">
        <v>312</v>
      </c>
      <c r="AL52" s="3">
        <f t="shared" si="17"/>
        <v>244478.7</v>
      </c>
    </row>
    <row r="53" spans="1:38" x14ac:dyDescent="0.3">
      <c r="A53" s="10" t="s">
        <v>54</v>
      </c>
      <c r="B53">
        <v>48</v>
      </c>
      <c r="C53">
        <v>28</v>
      </c>
      <c r="D53">
        <v>15.6</v>
      </c>
      <c r="E53" s="4">
        <f t="shared" ref="E53:E59" si="22">G53/F53</f>
        <v>13.199983194689523</v>
      </c>
      <c r="F53">
        <v>11901</v>
      </c>
      <c r="G53" s="1">
        <v>157093</v>
      </c>
      <c r="H53" s="29">
        <f t="shared" si="1"/>
        <v>0.65</v>
      </c>
      <c r="I53" t="s">
        <v>154</v>
      </c>
      <c r="J53" t="s">
        <v>155</v>
      </c>
      <c r="K53" t="str">
        <f t="shared" si="2"/>
        <v>Nei</v>
      </c>
      <c r="L53">
        <f t="shared" si="3"/>
        <v>15.6</v>
      </c>
      <c r="M53" s="27">
        <f t="shared" si="4"/>
        <v>133.84782959415176</v>
      </c>
      <c r="N53" s="27">
        <f t="shared" si="5"/>
        <v>496.35813097097588</v>
      </c>
      <c r="O53" s="27">
        <f t="shared" si="6"/>
        <v>29.81129915741597</v>
      </c>
      <c r="P53" s="27">
        <f t="shared" si="19"/>
        <v>827.26355161829315</v>
      </c>
      <c r="Q53" s="27">
        <f t="shared" si="8"/>
        <v>6.618108412946345</v>
      </c>
      <c r="R53" s="40">
        <f t="shared" si="20"/>
        <v>3.3090542064731725</v>
      </c>
      <c r="S53" s="40">
        <f t="shared" si="20"/>
        <v>1.6545271032365862</v>
      </c>
      <c r="T53" s="40">
        <f t="shared" si="20"/>
        <v>0.82726355161829312</v>
      </c>
      <c r="U53" s="40">
        <f t="shared" si="20"/>
        <v>0.41363177580914656</v>
      </c>
      <c r="V53" s="27">
        <f t="shared" si="10"/>
        <v>10.465199999999999</v>
      </c>
      <c r="W53" s="3">
        <f t="shared" si="11"/>
        <v>7.8488999999999995</v>
      </c>
      <c r="X53" s="23">
        <f t="shared" si="12"/>
        <v>0.84318928932033088</v>
      </c>
      <c r="Y53" s="3"/>
      <c r="Z53" s="3" t="str">
        <f t="shared" si="13"/>
        <v>Batteri</v>
      </c>
      <c r="AA53" s="3">
        <f t="shared" si="14"/>
        <v>378628.50980304996</v>
      </c>
      <c r="AB53" s="3">
        <f t="shared" si="15"/>
        <v>22740.451039222222</v>
      </c>
      <c r="AC53" s="3">
        <f t="shared" si="21"/>
        <v>62.302605586910197</v>
      </c>
      <c r="AD53" t="s">
        <v>313</v>
      </c>
      <c r="AE53" s="8" t="s">
        <v>261</v>
      </c>
      <c r="AF53" t="s">
        <v>314</v>
      </c>
      <c r="AG53" t="s">
        <v>215</v>
      </c>
      <c r="AH53" t="s">
        <v>388</v>
      </c>
      <c r="AI53" s="9">
        <v>44926</v>
      </c>
      <c r="AJ53" s="9">
        <v>45657</v>
      </c>
      <c r="AL53" s="3">
        <f t="shared" si="17"/>
        <v>102110.45</v>
      </c>
    </row>
    <row r="54" spans="1:38" x14ac:dyDescent="0.3">
      <c r="A54" s="10" t="s">
        <v>53</v>
      </c>
      <c r="B54">
        <v>81</v>
      </c>
      <c r="D54">
        <v>15.4</v>
      </c>
      <c r="E54" s="4">
        <f t="shared" si="22"/>
        <v>19.800004297747979</v>
      </c>
      <c r="F54">
        <v>46536</v>
      </c>
      <c r="G54" s="1">
        <v>921413</v>
      </c>
      <c r="H54" s="29">
        <f t="shared" si="1"/>
        <v>0.65</v>
      </c>
      <c r="I54" t="s">
        <v>139</v>
      </c>
      <c r="J54" t="s">
        <v>139</v>
      </c>
      <c r="K54" t="str">
        <f t="shared" si="2"/>
        <v>Ja</v>
      </c>
      <c r="L54">
        <f t="shared" si="3"/>
        <v>30.8</v>
      </c>
      <c r="M54" s="27">
        <f t="shared" si="4"/>
        <v>396.39608604091455</v>
      </c>
      <c r="N54" s="27">
        <f t="shared" si="5"/>
        <v>1469.985886122096</v>
      </c>
      <c r="O54" s="27">
        <f t="shared" si="6"/>
        <v>88.287440607933704</v>
      </c>
      <c r="P54" s="27">
        <f t="shared" si="19"/>
        <v>2449.9764768701602</v>
      </c>
      <c r="Q54" s="27">
        <f t="shared" si="8"/>
        <v>19.599811814961281</v>
      </c>
      <c r="R54" s="40">
        <f t="shared" si="20"/>
        <v>9.7999059074806407</v>
      </c>
      <c r="S54" s="40">
        <f t="shared" si="20"/>
        <v>4.8999529537403204</v>
      </c>
      <c r="T54" s="40">
        <f t="shared" si="20"/>
        <v>2.4499764768701602</v>
      </c>
      <c r="U54" s="40">
        <f t="shared" si="20"/>
        <v>1.2249882384350801</v>
      </c>
      <c r="V54" s="27">
        <f t="shared" si="10"/>
        <v>13.6068</v>
      </c>
      <c r="W54" s="3">
        <f t="shared" si="11"/>
        <v>10.2051</v>
      </c>
      <c r="X54" s="23">
        <f t="shared" si="12"/>
        <v>1.9205898829958825</v>
      </c>
      <c r="Y54" s="3"/>
      <c r="Z54" s="3" t="str">
        <f t="shared" si="13"/>
        <v>H2</v>
      </c>
      <c r="AA54" s="3">
        <f t="shared" si="14"/>
        <v>2220806.9812350501</v>
      </c>
      <c r="AB54" s="3">
        <f t="shared" si="15"/>
        <v>133381.8006747778</v>
      </c>
      <c r="AC54" s="3">
        <f t="shared" si="21"/>
        <v>365.42959088980217</v>
      </c>
      <c r="AD54" t="s">
        <v>315</v>
      </c>
      <c r="AE54" s="8" t="s">
        <v>261</v>
      </c>
      <c r="AF54" t="s">
        <v>316</v>
      </c>
      <c r="AG54" t="s">
        <v>215</v>
      </c>
      <c r="AH54" t="s">
        <v>388</v>
      </c>
      <c r="AI54" s="9">
        <v>44926</v>
      </c>
      <c r="AJ54" s="9">
        <v>45657</v>
      </c>
      <c r="AK54" t="s">
        <v>240</v>
      </c>
      <c r="AL54" s="3">
        <f t="shared" si="17"/>
        <v>598918.45000000007</v>
      </c>
    </row>
    <row r="55" spans="1:38" x14ac:dyDescent="0.3">
      <c r="A55" s="10" t="s">
        <v>52</v>
      </c>
      <c r="B55">
        <v>85</v>
      </c>
      <c r="D55">
        <v>14</v>
      </c>
      <c r="E55" s="4">
        <f t="shared" si="22"/>
        <v>29.700046685340801</v>
      </c>
      <c r="F55">
        <v>4284</v>
      </c>
      <c r="G55" s="1">
        <v>127235</v>
      </c>
      <c r="H55" s="29">
        <f t="shared" si="1"/>
        <v>0.65</v>
      </c>
      <c r="I55" t="s">
        <v>127</v>
      </c>
      <c r="J55" t="s">
        <v>127</v>
      </c>
      <c r="K55" t="str">
        <f t="shared" si="2"/>
        <v>Ja</v>
      </c>
      <c r="L55">
        <f t="shared" si="3"/>
        <v>28</v>
      </c>
      <c r="M55" s="27">
        <f t="shared" si="4"/>
        <v>540.54084967320262</v>
      </c>
      <c r="N55" s="27">
        <f t="shared" si="5"/>
        <v>2004.5289241580431</v>
      </c>
      <c r="O55" s="27">
        <f t="shared" si="6"/>
        <v>120.39212757705965</v>
      </c>
      <c r="P55" s="27">
        <f t="shared" si="19"/>
        <v>3340.8815402634054</v>
      </c>
      <c r="Q55" s="27">
        <f t="shared" si="8"/>
        <v>26.727052322107244</v>
      </c>
      <c r="R55" s="40">
        <f t="shared" si="20"/>
        <v>13.363526161053622</v>
      </c>
      <c r="S55" s="40">
        <f t="shared" si="20"/>
        <v>6.6817630805268111</v>
      </c>
      <c r="T55" s="40">
        <f t="shared" si="20"/>
        <v>3.3408815402634056</v>
      </c>
      <c r="U55" s="40">
        <f t="shared" si="20"/>
        <v>1.6704407701317028</v>
      </c>
      <c r="V55" s="31">
        <v>22</v>
      </c>
      <c r="W55" s="3">
        <f t="shared" si="11"/>
        <v>16.5</v>
      </c>
      <c r="X55" s="23">
        <f t="shared" si="12"/>
        <v>1.6198213528549845</v>
      </c>
      <c r="Y55" s="3"/>
      <c r="Z55" s="3" t="str">
        <f t="shared" si="13"/>
        <v>H2</v>
      </c>
      <c r="AA55" s="3">
        <f t="shared" si="14"/>
        <v>306664.19537974993</v>
      </c>
      <c r="AB55" s="3">
        <f t="shared" si="15"/>
        <v>18418.269992777776</v>
      </c>
      <c r="AC55" s="3">
        <f t="shared" si="21"/>
        <v>50.461013678843223</v>
      </c>
      <c r="AD55" t="s">
        <v>263</v>
      </c>
      <c r="AE55" s="8" t="s">
        <v>264</v>
      </c>
      <c r="AF55">
        <v>562</v>
      </c>
      <c r="AG55" s="5" t="s">
        <v>265</v>
      </c>
      <c r="AH55" s="5" t="s">
        <v>11</v>
      </c>
      <c r="AI55" s="9">
        <v>44561</v>
      </c>
      <c r="AJ55" s="9">
        <v>45657</v>
      </c>
      <c r="AK55" t="s">
        <v>317</v>
      </c>
      <c r="AL55" s="3">
        <f t="shared" si="17"/>
        <v>82702.75</v>
      </c>
    </row>
    <row r="56" spans="1:38" x14ac:dyDescent="0.3">
      <c r="A56" s="10" t="s">
        <v>50</v>
      </c>
      <c r="B56">
        <v>36</v>
      </c>
      <c r="C56">
        <v>19.899999999999999</v>
      </c>
      <c r="D56">
        <v>19.899999999999999</v>
      </c>
      <c r="E56" s="4">
        <f t="shared" si="22"/>
        <v>13.199983289468188</v>
      </c>
      <c r="F56">
        <v>23937</v>
      </c>
      <c r="G56" s="1">
        <v>315968</v>
      </c>
      <c r="H56" s="29">
        <f t="shared" si="1"/>
        <v>0.65</v>
      </c>
      <c r="I56" t="s">
        <v>156</v>
      </c>
      <c r="J56" t="s">
        <v>156</v>
      </c>
      <c r="K56" t="str">
        <f t="shared" si="2"/>
        <v>Ja</v>
      </c>
      <c r="L56">
        <f t="shared" si="3"/>
        <v>39.799999999999997</v>
      </c>
      <c r="M56" s="27">
        <f t="shared" si="4"/>
        <v>341.483567698542</v>
      </c>
      <c r="N56" s="27">
        <f t="shared" si="5"/>
        <v>1266.3495996468139</v>
      </c>
      <c r="O56" s="27">
        <f t="shared" si="6"/>
        <v>76.057033011820664</v>
      </c>
      <c r="P56" s="27">
        <f t="shared" si="19"/>
        <v>2110.5826660780231</v>
      </c>
      <c r="Q56" s="27">
        <f t="shared" si="8"/>
        <v>16.884661328624183</v>
      </c>
      <c r="R56" s="40">
        <f t="shared" si="20"/>
        <v>8.4423306643120917</v>
      </c>
      <c r="S56" s="40">
        <f t="shared" si="20"/>
        <v>4.2211653321560458</v>
      </c>
      <c r="T56" s="40">
        <f t="shared" si="20"/>
        <v>2.1105826660780229</v>
      </c>
      <c r="U56" s="40">
        <f t="shared" si="20"/>
        <v>1.0552913330390115</v>
      </c>
      <c r="V56" s="27">
        <f t="shared" si="10"/>
        <v>9.3228000000000009</v>
      </c>
      <c r="W56" s="3">
        <f t="shared" si="11"/>
        <v>6.9921000000000006</v>
      </c>
      <c r="X56" s="23">
        <f t="shared" si="12"/>
        <v>2.4148197721177018</v>
      </c>
      <c r="Y56" s="3"/>
      <c r="Z56" s="3" t="str">
        <f t="shared" si="13"/>
        <v>H2</v>
      </c>
      <c r="AA56" s="3">
        <f t="shared" si="14"/>
        <v>761552.02959679998</v>
      </c>
      <c r="AB56" s="3">
        <f t="shared" si="15"/>
        <v>45738.860636444449</v>
      </c>
      <c r="AC56" s="3">
        <f t="shared" si="21"/>
        <v>125.31194694916287</v>
      </c>
      <c r="AD56" t="s">
        <v>50</v>
      </c>
      <c r="AE56" s="8" t="s">
        <v>318</v>
      </c>
      <c r="AF56" t="s">
        <v>319</v>
      </c>
      <c r="AG56" t="s">
        <v>215</v>
      </c>
      <c r="AH56" t="s">
        <v>15</v>
      </c>
      <c r="AI56" s="9">
        <v>43921</v>
      </c>
      <c r="AJ56" s="9">
        <v>44926</v>
      </c>
      <c r="AK56" t="s">
        <v>240</v>
      </c>
      <c r="AL56" s="3">
        <f t="shared" si="17"/>
        <v>205379.20000000001</v>
      </c>
    </row>
    <row r="57" spans="1:38" x14ac:dyDescent="0.3">
      <c r="A57" s="10" t="s">
        <v>51</v>
      </c>
      <c r="B57">
        <v>48</v>
      </c>
      <c r="C57">
        <v>25</v>
      </c>
      <c r="D57">
        <v>13</v>
      </c>
      <c r="E57" s="4">
        <f t="shared" si="22"/>
        <v>16.500050766575288</v>
      </c>
      <c r="F57">
        <v>9849</v>
      </c>
      <c r="G57" s="1">
        <v>162509</v>
      </c>
      <c r="H57" s="29">
        <f t="shared" si="1"/>
        <v>0.65</v>
      </c>
      <c r="I57" t="s">
        <v>151</v>
      </c>
      <c r="J57" t="s">
        <v>157</v>
      </c>
      <c r="K57" t="str">
        <f t="shared" si="2"/>
        <v>Nei</v>
      </c>
      <c r="L57">
        <f t="shared" si="3"/>
        <v>13</v>
      </c>
      <c r="M57" s="27">
        <f t="shared" si="4"/>
        <v>139.42542897756118</v>
      </c>
      <c r="N57" s="27">
        <f t="shared" si="5"/>
        <v>517.04196883109262</v>
      </c>
      <c r="O57" s="27">
        <f t="shared" si="6"/>
        <v>31.053571701567126</v>
      </c>
      <c r="P57" s="27">
        <f t="shared" si="19"/>
        <v>861.73661471848777</v>
      </c>
      <c r="Q57" s="27">
        <f t="shared" si="8"/>
        <v>6.8938929177479018</v>
      </c>
      <c r="R57" s="40">
        <f t="shared" si="20"/>
        <v>3.4469464588739509</v>
      </c>
      <c r="S57" s="40">
        <f t="shared" si="20"/>
        <v>1.7234732294369755</v>
      </c>
      <c r="T57" s="40">
        <f t="shared" si="20"/>
        <v>0.86173661471848773</v>
      </c>
      <c r="U57" s="40">
        <f t="shared" si="20"/>
        <v>0.43086830735924386</v>
      </c>
      <c r="V57" s="27">
        <f t="shared" si="10"/>
        <v>10.465199999999999</v>
      </c>
      <c r="W57" s="3">
        <f t="shared" si="11"/>
        <v>7.8488999999999995</v>
      </c>
      <c r="X57" s="23">
        <f t="shared" si="12"/>
        <v>0.87832599698657166</v>
      </c>
      <c r="Y57" s="3"/>
      <c r="Z57" s="3" t="str">
        <f t="shared" si="13"/>
        <v>Batteri</v>
      </c>
      <c r="AA57" s="3">
        <f t="shared" si="14"/>
        <v>391682.25509464997</v>
      </c>
      <c r="AB57" s="3">
        <f t="shared" si="15"/>
        <v>23524.459765444444</v>
      </c>
      <c r="AC57" s="3">
        <f t="shared" si="21"/>
        <v>64.450574699847792</v>
      </c>
      <c r="AD57" t="s">
        <v>320</v>
      </c>
      <c r="AE57" s="8" t="s">
        <v>261</v>
      </c>
      <c r="AF57" t="s">
        <v>321</v>
      </c>
      <c r="AG57" t="s">
        <v>215</v>
      </c>
      <c r="AH57" t="s">
        <v>388</v>
      </c>
      <c r="AI57" s="9">
        <v>44926</v>
      </c>
      <c r="AJ57" s="9">
        <v>45657</v>
      </c>
      <c r="AK57" t="s">
        <v>322</v>
      </c>
      <c r="AL57" s="3">
        <f t="shared" si="17"/>
        <v>105630.85</v>
      </c>
    </row>
    <row r="58" spans="1:38" x14ac:dyDescent="0.3">
      <c r="A58" s="10" t="s">
        <v>47</v>
      </c>
      <c r="B58">
        <v>48</v>
      </c>
      <c r="C58">
        <v>25</v>
      </c>
      <c r="D58">
        <v>12</v>
      </c>
      <c r="E58" s="4">
        <f t="shared" si="22"/>
        <v>19.799987075093707</v>
      </c>
      <c r="F58">
        <v>30948</v>
      </c>
      <c r="G58" s="1">
        <v>612770</v>
      </c>
      <c r="H58" s="29">
        <f t="shared" si="1"/>
        <v>0.65</v>
      </c>
      <c r="I58" t="s">
        <v>158</v>
      </c>
      <c r="J58" t="s">
        <v>158</v>
      </c>
      <c r="K58" t="str">
        <f t="shared" si="2"/>
        <v>Ja</v>
      </c>
      <c r="L58">
        <f t="shared" si="3"/>
        <v>24</v>
      </c>
      <c r="M58" s="27">
        <f t="shared" si="4"/>
        <v>308.87979837146185</v>
      </c>
      <c r="N58" s="27">
        <f t="shared" si="5"/>
        <v>1145.4425512854898</v>
      </c>
      <c r="O58" s="27">
        <f t="shared" si="6"/>
        <v>68.795348425554948</v>
      </c>
      <c r="P58" s="27">
        <f t="shared" si="19"/>
        <v>1909.0709188091498</v>
      </c>
      <c r="Q58" s="27">
        <f t="shared" si="8"/>
        <v>15.272567350473199</v>
      </c>
      <c r="R58" s="40">
        <f t="shared" si="20"/>
        <v>7.6362836752365997</v>
      </c>
      <c r="S58" s="40">
        <f t="shared" si="20"/>
        <v>3.8181418376182998</v>
      </c>
      <c r="T58" s="40">
        <f t="shared" si="20"/>
        <v>1.9090709188091499</v>
      </c>
      <c r="U58" s="40">
        <f t="shared" si="20"/>
        <v>0.95453545940457496</v>
      </c>
      <c r="V58" s="31">
        <v>23.85</v>
      </c>
      <c r="W58" s="3">
        <f t="shared" si="11"/>
        <v>17.887500000000003</v>
      </c>
      <c r="X58" s="23">
        <f t="shared" si="12"/>
        <v>0.85381229073225418</v>
      </c>
      <c r="Y58" s="3"/>
      <c r="Z58" s="3" t="str">
        <f t="shared" si="13"/>
        <v>Batteri</v>
      </c>
      <c r="AA58" s="3">
        <f t="shared" si="14"/>
        <v>1476909.8047144997</v>
      </c>
      <c r="AB58" s="3">
        <f t="shared" si="15"/>
        <v>88703.291574444433</v>
      </c>
      <c r="AC58" s="3">
        <f t="shared" si="21"/>
        <v>243.02271664231353</v>
      </c>
      <c r="AD58" t="s">
        <v>323</v>
      </c>
      <c r="AE58" s="8" t="s">
        <v>258</v>
      </c>
      <c r="AF58" t="s">
        <v>324</v>
      </c>
      <c r="AG58" s="5" t="s">
        <v>265</v>
      </c>
      <c r="AH58" s="5" t="s">
        <v>15</v>
      </c>
      <c r="AI58" s="9">
        <v>44377</v>
      </c>
      <c r="AJ58" s="9">
        <v>44377</v>
      </c>
      <c r="AK58" t="s">
        <v>240</v>
      </c>
      <c r="AL58" s="3">
        <f t="shared" si="17"/>
        <v>398300.5</v>
      </c>
    </row>
    <row r="59" spans="1:38" x14ac:dyDescent="0.3">
      <c r="A59" s="10" t="s">
        <v>48</v>
      </c>
      <c r="B59">
        <v>180</v>
      </c>
      <c r="C59">
        <v>30</v>
      </c>
      <c r="D59">
        <v>12</v>
      </c>
      <c r="E59" s="4">
        <f t="shared" si="22"/>
        <v>38.988416988416986</v>
      </c>
      <c r="F59">
        <v>10360</v>
      </c>
      <c r="G59" s="1">
        <v>403920</v>
      </c>
      <c r="H59" s="29">
        <f t="shared" si="1"/>
        <v>0.65</v>
      </c>
      <c r="I59" t="s">
        <v>127</v>
      </c>
      <c r="J59" t="s">
        <v>127</v>
      </c>
      <c r="K59" t="str">
        <f t="shared" si="2"/>
        <v>Ja</v>
      </c>
      <c r="L59">
        <f t="shared" si="3"/>
        <v>24</v>
      </c>
      <c r="M59" s="27">
        <f t="shared" si="4"/>
        <v>608.21930501930501</v>
      </c>
      <c r="N59" s="27">
        <f t="shared" si="5"/>
        <v>2255.5061100000003</v>
      </c>
      <c r="O59" s="27">
        <f t="shared" si="6"/>
        <v>135.46583243243245</v>
      </c>
      <c r="P59" s="27">
        <f t="shared" si="19"/>
        <v>3759.1768500000007</v>
      </c>
      <c r="Q59" s="27">
        <f t="shared" si="8"/>
        <v>30.073414800000005</v>
      </c>
      <c r="R59" s="40">
        <f t="shared" si="20"/>
        <v>15.036707400000003</v>
      </c>
      <c r="S59" s="40">
        <f t="shared" si="20"/>
        <v>7.5183537000000014</v>
      </c>
      <c r="T59" s="40">
        <f t="shared" si="20"/>
        <v>3.7591768500000007</v>
      </c>
      <c r="U59" s="40">
        <f t="shared" si="20"/>
        <v>1.8795884250000003</v>
      </c>
      <c r="V59" s="27">
        <f t="shared" si="10"/>
        <v>23.031600000000005</v>
      </c>
      <c r="W59" s="3">
        <f t="shared" si="11"/>
        <v>17.273700000000005</v>
      </c>
      <c r="X59" s="23">
        <f t="shared" si="12"/>
        <v>1.7409943903159135</v>
      </c>
      <c r="Y59" s="3"/>
      <c r="Z59" s="3" t="str">
        <f t="shared" si="13"/>
        <v>H2</v>
      </c>
      <c r="AA59" s="3">
        <f t="shared" si="14"/>
        <v>973535.59789199987</v>
      </c>
      <c r="AB59" s="3">
        <f t="shared" si="15"/>
        <v>58470.606479999995</v>
      </c>
      <c r="AC59" s="3">
        <f t="shared" si="21"/>
        <v>160.19344241095888</v>
      </c>
      <c r="AD59" t="s">
        <v>325</v>
      </c>
      <c r="AE59" s="8" t="s">
        <v>249</v>
      </c>
      <c r="AF59">
        <v>500</v>
      </c>
      <c r="AG59" t="s">
        <v>215</v>
      </c>
      <c r="AH59" t="s">
        <v>11</v>
      </c>
      <c r="AI59" s="9">
        <v>44561</v>
      </c>
      <c r="AJ59" s="9">
        <v>45657</v>
      </c>
      <c r="AK59" t="s">
        <v>240</v>
      </c>
      <c r="AL59" s="3">
        <f t="shared" si="17"/>
        <v>262548</v>
      </c>
    </row>
    <row r="60" spans="1:38" x14ac:dyDescent="0.3">
      <c r="A60" s="10" t="s">
        <v>49</v>
      </c>
      <c r="B60" s="14">
        <v>250</v>
      </c>
      <c r="C60" s="14">
        <v>33</v>
      </c>
      <c r="D60">
        <v>12</v>
      </c>
      <c r="E60" s="28">
        <v>20</v>
      </c>
      <c r="G60" s="1">
        <v>774354</v>
      </c>
      <c r="H60" s="29">
        <f>H6</f>
        <v>0.9</v>
      </c>
      <c r="I60" t="s">
        <v>6</v>
      </c>
      <c r="J60" t="s">
        <v>6</v>
      </c>
      <c r="K60" t="str">
        <f t="shared" si="2"/>
        <v>Ja</v>
      </c>
      <c r="L60">
        <f t="shared" si="3"/>
        <v>24</v>
      </c>
      <c r="M60" s="27">
        <f t="shared" si="4"/>
        <v>432</v>
      </c>
      <c r="N60" s="27">
        <f t="shared" si="5"/>
        <v>1602.0185999999999</v>
      </c>
      <c r="O60" s="27">
        <f t="shared" si="6"/>
        <v>96.217333333333329</v>
      </c>
      <c r="P60" s="27">
        <f t="shared" si="19"/>
        <v>2670.0309999999999</v>
      </c>
      <c r="Q60" s="27">
        <f t="shared" si="8"/>
        <v>21.360247999999999</v>
      </c>
      <c r="R60" s="40">
        <f t="shared" si="20"/>
        <v>10.680123999999999</v>
      </c>
      <c r="S60" s="40">
        <f t="shared" si="20"/>
        <v>5.3400619999999996</v>
      </c>
      <c r="T60" s="40">
        <f t="shared" si="20"/>
        <v>2.6700309999999998</v>
      </c>
      <c r="U60" s="40">
        <f t="shared" si="20"/>
        <v>1.3350154999999999</v>
      </c>
      <c r="V60" s="27">
        <f t="shared" si="10"/>
        <v>29.695599999999999</v>
      </c>
      <c r="W60" s="3">
        <f t="shared" si="11"/>
        <v>22.271699999999999</v>
      </c>
      <c r="X60" s="23">
        <f t="shared" si="12"/>
        <v>0.95907577778077113</v>
      </c>
      <c r="Y60" s="3" t="s">
        <v>376</v>
      </c>
      <c r="Z60" s="3" t="str">
        <f t="shared" si="13"/>
        <v>H2</v>
      </c>
      <c r="AA60" s="3">
        <f t="shared" si="14"/>
        <v>2584194.3794393996</v>
      </c>
      <c r="AB60" s="3">
        <f t="shared" si="15"/>
        <v>155206.86963599999</v>
      </c>
      <c r="AC60" s="3">
        <f t="shared" si="21"/>
        <v>425.22430037260273</v>
      </c>
      <c r="AD60" t="s">
        <v>326</v>
      </c>
      <c r="AE60" s="8" t="s">
        <v>310</v>
      </c>
      <c r="AF60" t="s">
        <v>327</v>
      </c>
      <c r="AG60" t="s">
        <v>215</v>
      </c>
      <c r="AH60" t="s">
        <v>6</v>
      </c>
      <c r="AI60" s="9">
        <v>45292</v>
      </c>
      <c r="AJ60" s="9">
        <v>45292</v>
      </c>
      <c r="AK60" t="s">
        <v>328</v>
      </c>
      <c r="AL60" s="3">
        <f t="shared" si="17"/>
        <v>696918.6</v>
      </c>
    </row>
    <row r="61" spans="1:38" x14ac:dyDescent="0.3">
      <c r="A61" s="10" t="s">
        <v>46</v>
      </c>
      <c r="B61">
        <v>52</v>
      </c>
      <c r="C61">
        <v>25</v>
      </c>
      <c r="D61">
        <v>11.3</v>
      </c>
      <c r="E61" s="4">
        <f>G61/F61</f>
        <v>16.5</v>
      </c>
      <c r="F61">
        <v>34290</v>
      </c>
      <c r="G61" s="1">
        <v>565785</v>
      </c>
      <c r="H61" s="29">
        <f t="shared" si="1"/>
        <v>0.65</v>
      </c>
      <c r="I61" t="s">
        <v>139</v>
      </c>
      <c r="J61" t="s">
        <v>159</v>
      </c>
      <c r="K61" t="str">
        <f t="shared" si="2"/>
        <v>Nei</v>
      </c>
      <c r="L61">
        <f t="shared" si="3"/>
        <v>11.3</v>
      </c>
      <c r="M61" s="27">
        <f t="shared" si="4"/>
        <v>121.19250000000001</v>
      </c>
      <c r="N61" s="27">
        <f t="shared" si="5"/>
        <v>449.42740551041669</v>
      </c>
      <c r="O61" s="27">
        <f t="shared" si="6"/>
        <v>26.992636967592595</v>
      </c>
      <c r="P61" s="27">
        <f t="shared" si="19"/>
        <v>749.04567585069447</v>
      </c>
      <c r="Q61" s="27">
        <f t="shared" si="8"/>
        <v>5.9923654068055558</v>
      </c>
      <c r="R61" s="40">
        <f t="shared" si="20"/>
        <v>2.9961827034027779</v>
      </c>
      <c r="S61" s="40">
        <f t="shared" si="20"/>
        <v>1.498091351701389</v>
      </c>
      <c r="T61" s="40">
        <f t="shared" si="20"/>
        <v>0.74904567585069448</v>
      </c>
      <c r="U61" s="40">
        <f t="shared" si="20"/>
        <v>0.37452283792534724</v>
      </c>
      <c r="V61" s="31">
        <v>10</v>
      </c>
      <c r="W61" s="3">
        <f t="shared" si="11"/>
        <v>7.5</v>
      </c>
      <c r="X61" s="23">
        <f t="shared" si="12"/>
        <v>0.79898205424074076</v>
      </c>
      <c r="Y61" s="3"/>
      <c r="Z61" s="3" t="str">
        <f t="shared" si="13"/>
        <v>Batteri</v>
      </c>
      <c r="AA61" s="3">
        <f t="shared" si="14"/>
        <v>1363665.67204725</v>
      </c>
      <c r="AB61" s="3">
        <f t="shared" ref="AB61:AB98" si="23">AA61/33.3/0.5</f>
        <v>81901.842165000009</v>
      </c>
      <c r="AC61" s="3">
        <f t="shared" si="16"/>
        <v>224.3886086712329</v>
      </c>
      <c r="AD61" t="s">
        <v>315</v>
      </c>
      <c r="AE61" s="8" t="s">
        <v>261</v>
      </c>
      <c r="AF61" t="s">
        <v>329</v>
      </c>
      <c r="AG61" s="5" t="s">
        <v>265</v>
      </c>
      <c r="AH61" s="5" t="s">
        <v>388</v>
      </c>
      <c r="AI61" s="9">
        <v>44926</v>
      </c>
      <c r="AJ61" s="9">
        <v>45657</v>
      </c>
      <c r="AL61" s="3">
        <f t="shared" si="17"/>
        <v>367760.25</v>
      </c>
    </row>
    <row r="62" spans="1:38" x14ac:dyDescent="0.3">
      <c r="A62" s="10" t="s">
        <v>45</v>
      </c>
      <c r="B62">
        <v>30</v>
      </c>
      <c r="D62">
        <v>11</v>
      </c>
      <c r="E62" s="4">
        <f>G62/F62</f>
        <v>19.800006905838888</v>
      </c>
      <c r="F62">
        <v>28961</v>
      </c>
      <c r="G62" s="1">
        <v>573428</v>
      </c>
      <c r="H62" s="29">
        <f t="shared" si="1"/>
        <v>0.65</v>
      </c>
      <c r="I62" t="s">
        <v>160</v>
      </c>
      <c r="J62" t="s">
        <v>161</v>
      </c>
      <c r="K62" t="str">
        <f t="shared" si="2"/>
        <v>Nei</v>
      </c>
      <c r="L62">
        <f t="shared" si="3"/>
        <v>11</v>
      </c>
      <c r="M62" s="27">
        <f t="shared" si="4"/>
        <v>141.57004937674805</v>
      </c>
      <c r="N62" s="27">
        <f t="shared" si="5"/>
        <v>524.99502848256668</v>
      </c>
      <c r="O62" s="27">
        <f t="shared" si="6"/>
        <v>31.531232941895901</v>
      </c>
      <c r="P62" s="27">
        <f t="shared" si="19"/>
        <v>874.99171413761121</v>
      </c>
      <c r="Q62" s="27">
        <f t="shared" si="8"/>
        <v>6.9999337131008899</v>
      </c>
      <c r="R62" s="40">
        <f t="shared" si="20"/>
        <v>3.4999668565504449</v>
      </c>
      <c r="S62" s="40">
        <f t="shared" si="20"/>
        <v>1.7499834282752225</v>
      </c>
      <c r="T62" s="40">
        <f t="shared" si="20"/>
        <v>0.87499171413761123</v>
      </c>
      <c r="U62" s="40">
        <f t="shared" si="20"/>
        <v>0.43749585706880562</v>
      </c>
      <c r="V62" s="31">
        <v>15</v>
      </c>
      <c r="W62" s="3">
        <f t="shared" si="11"/>
        <v>11.25</v>
      </c>
      <c r="X62" s="23">
        <f t="shared" si="12"/>
        <v>0.62221633005341248</v>
      </c>
      <c r="Y62" s="3"/>
      <c r="Z62" s="3" t="str">
        <f t="shared" si="13"/>
        <v>Batteri</v>
      </c>
      <c r="AA62" s="3">
        <f t="shared" si="14"/>
        <v>1382086.9747178</v>
      </c>
      <c r="AB62" s="3">
        <f t="shared" si="23"/>
        <v>83008.22670977778</v>
      </c>
      <c r="AC62" s="3">
        <f t="shared" si="16"/>
        <v>227.41979920487063</v>
      </c>
      <c r="AD62" t="s">
        <v>330</v>
      </c>
      <c r="AE62" s="8" t="s">
        <v>234</v>
      </c>
      <c r="AF62" t="s">
        <v>331</v>
      </c>
      <c r="AG62" s="5" t="s">
        <v>265</v>
      </c>
      <c r="AH62" s="5" t="s">
        <v>15</v>
      </c>
      <c r="AI62" s="9">
        <v>44285</v>
      </c>
      <c r="AJ62" s="9">
        <v>44285</v>
      </c>
      <c r="AL62" s="3">
        <f t="shared" si="17"/>
        <v>372728.2</v>
      </c>
    </row>
    <row r="63" spans="1:38" x14ac:dyDescent="0.3">
      <c r="A63" s="10" t="s">
        <v>39</v>
      </c>
      <c r="B63">
        <v>147</v>
      </c>
      <c r="C63">
        <v>34</v>
      </c>
      <c r="D63">
        <v>10</v>
      </c>
      <c r="E63">
        <v>22</v>
      </c>
      <c r="F63">
        <v>7140</v>
      </c>
      <c r="G63" s="1">
        <v>172788</v>
      </c>
      <c r="H63" s="29">
        <f t="shared" si="1"/>
        <v>0.65</v>
      </c>
      <c r="I63" t="s">
        <v>115</v>
      </c>
      <c r="J63" t="s">
        <v>115</v>
      </c>
      <c r="K63" t="str">
        <f t="shared" si="2"/>
        <v>Ja</v>
      </c>
      <c r="L63">
        <f t="shared" si="3"/>
        <v>20</v>
      </c>
      <c r="M63" s="27">
        <f t="shared" si="4"/>
        <v>286</v>
      </c>
      <c r="N63" s="27">
        <f t="shared" si="5"/>
        <v>1060.5956472222222</v>
      </c>
      <c r="O63" s="27">
        <f t="shared" si="6"/>
        <v>63.69943827160494</v>
      </c>
      <c r="P63" s="27">
        <f t="shared" si="19"/>
        <v>1767.6594120370371</v>
      </c>
      <c r="Q63" s="27">
        <f t="shared" si="8"/>
        <v>14.141275296296296</v>
      </c>
      <c r="R63" s="40">
        <f t="shared" si="20"/>
        <v>7.0706376481481481</v>
      </c>
      <c r="S63" s="40">
        <f t="shared" si="20"/>
        <v>3.5353188240740741</v>
      </c>
      <c r="T63" s="40">
        <f t="shared" si="20"/>
        <v>1.767659412037037</v>
      </c>
      <c r="U63" s="40">
        <f t="shared" si="20"/>
        <v>0.88382970601851851</v>
      </c>
      <c r="V63" s="27">
        <f t="shared" si="10"/>
        <v>19.89</v>
      </c>
      <c r="W63" s="3">
        <f t="shared" si="11"/>
        <v>14.9175</v>
      </c>
      <c r="X63" s="23">
        <f t="shared" si="12"/>
        <v>0.94796549665133545</v>
      </c>
      <c r="Y63" s="3"/>
      <c r="Z63" s="3" t="str">
        <f t="shared" si="13"/>
        <v>Batteri</v>
      </c>
      <c r="AA63" s="3">
        <f t="shared" si="14"/>
        <v>416456.89465379994</v>
      </c>
      <c r="AB63" s="3">
        <f t="shared" si="23"/>
        <v>25012.426105333332</v>
      </c>
      <c r="AC63" s="3">
        <f t="shared" si="16"/>
        <v>68.527194809132411</v>
      </c>
      <c r="AD63" t="s">
        <v>332</v>
      </c>
      <c r="AE63" s="8" t="s">
        <v>40</v>
      </c>
      <c r="AF63">
        <v>4</v>
      </c>
      <c r="AG63" t="s">
        <v>215</v>
      </c>
      <c r="AH63" t="s">
        <v>389</v>
      </c>
      <c r="AI63" s="9">
        <v>47484</v>
      </c>
      <c r="AJ63" s="9">
        <v>47484</v>
      </c>
      <c r="AK63" t="s">
        <v>256</v>
      </c>
      <c r="AL63" s="3">
        <f t="shared" si="17"/>
        <v>112312.2</v>
      </c>
    </row>
    <row r="64" spans="1:38" x14ac:dyDescent="0.3">
      <c r="A64" s="10" t="s">
        <v>41</v>
      </c>
      <c r="B64">
        <v>296</v>
      </c>
      <c r="C64">
        <v>34</v>
      </c>
      <c r="D64">
        <v>10</v>
      </c>
      <c r="E64">
        <v>30</v>
      </c>
      <c r="F64">
        <v>94000</v>
      </c>
      <c r="G64" s="1">
        <v>3102000</v>
      </c>
      <c r="H64" s="29">
        <f t="shared" si="1"/>
        <v>0.65</v>
      </c>
      <c r="I64" t="s">
        <v>149</v>
      </c>
      <c r="J64" t="s">
        <v>149</v>
      </c>
      <c r="K64" t="str">
        <f t="shared" si="2"/>
        <v>Ja</v>
      </c>
      <c r="L64">
        <f t="shared" si="3"/>
        <v>20</v>
      </c>
      <c r="M64" s="27">
        <f t="shared" si="4"/>
        <v>390</v>
      </c>
      <c r="N64" s="27">
        <f t="shared" si="5"/>
        <v>1446.2667916666669</v>
      </c>
      <c r="O64" s="27">
        <f t="shared" si="6"/>
        <v>86.862870370370388</v>
      </c>
      <c r="P64" s="27">
        <f t="shared" si="19"/>
        <v>2410.4446527777782</v>
      </c>
      <c r="Q64" s="27">
        <f t="shared" si="8"/>
        <v>19.283557222222225</v>
      </c>
      <c r="R64" s="40">
        <f t="shared" si="20"/>
        <v>9.6417786111111123</v>
      </c>
      <c r="S64" s="40">
        <f t="shared" si="20"/>
        <v>4.8208893055555562</v>
      </c>
      <c r="T64" s="40">
        <f t="shared" si="20"/>
        <v>2.4104446527777781</v>
      </c>
      <c r="U64" s="40">
        <f t="shared" si="20"/>
        <v>1.205222326388889</v>
      </c>
      <c r="V64" s="27">
        <f t="shared" si="10"/>
        <v>34.074800000000003</v>
      </c>
      <c r="W64" s="3">
        <f t="shared" si="11"/>
        <v>25.556100000000001</v>
      </c>
      <c r="X64" s="23">
        <f t="shared" si="12"/>
        <v>0.75455790289685143</v>
      </c>
      <c r="Y64" s="3"/>
      <c r="Z64" s="3" t="str">
        <f t="shared" si="13"/>
        <v>Batteri</v>
      </c>
      <c r="AA64" s="3">
        <f t="shared" si="14"/>
        <v>7476498.8727000002</v>
      </c>
      <c r="AB64" s="3">
        <f t="shared" si="23"/>
        <v>449038.97133333341</v>
      </c>
      <c r="AC64" s="3">
        <f t="shared" si="16"/>
        <v>1230.2437570776258</v>
      </c>
      <c r="AD64" t="s">
        <v>252</v>
      </c>
      <c r="AE64" s="8" t="s">
        <v>296</v>
      </c>
      <c r="AF64">
        <v>5</v>
      </c>
      <c r="AG64" t="s">
        <v>215</v>
      </c>
      <c r="AH64" t="s">
        <v>8</v>
      </c>
      <c r="AI64" s="9">
        <v>45657</v>
      </c>
      <c r="AJ64" s="9">
        <v>46387</v>
      </c>
      <c r="AK64" t="s">
        <v>256</v>
      </c>
      <c r="AL64" s="3">
        <f t="shared" si="17"/>
        <v>2016300</v>
      </c>
    </row>
    <row r="65" spans="1:38" x14ac:dyDescent="0.3">
      <c r="A65" s="10" t="s">
        <v>42</v>
      </c>
      <c r="B65">
        <v>70</v>
      </c>
      <c r="C65">
        <v>22</v>
      </c>
      <c r="D65">
        <v>10</v>
      </c>
      <c r="E65">
        <v>13</v>
      </c>
      <c r="F65">
        <v>30207</v>
      </c>
      <c r="G65" s="1">
        <v>431960</v>
      </c>
      <c r="H65" s="29">
        <f t="shared" si="1"/>
        <v>0.65</v>
      </c>
      <c r="I65" t="s">
        <v>139</v>
      </c>
      <c r="J65" t="s">
        <v>139</v>
      </c>
      <c r="K65" t="str">
        <f t="shared" si="2"/>
        <v>Ja</v>
      </c>
      <c r="L65">
        <f t="shared" si="3"/>
        <v>20</v>
      </c>
      <c r="M65" s="27">
        <f t="shared" si="4"/>
        <v>169</v>
      </c>
      <c r="N65" s="27">
        <f t="shared" si="5"/>
        <v>626.71560972222233</v>
      </c>
      <c r="O65" s="27">
        <f t="shared" si="6"/>
        <v>37.640577160493834</v>
      </c>
      <c r="P65" s="27">
        <f t="shared" si="19"/>
        <v>1044.5260162037039</v>
      </c>
      <c r="Q65" s="27">
        <f t="shared" si="8"/>
        <v>8.3562081296296302</v>
      </c>
      <c r="R65" s="40">
        <f t="shared" si="20"/>
        <v>4.1781040648148151</v>
      </c>
      <c r="S65" s="40">
        <f t="shared" si="20"/>
        <v>2.0890520324074076</v>
      </c>
      <c r="T65" s="40">
        <f t="shared" si="20"/>
        <v>1.0445260162037038</v>
      </c>
      <c r="U65" s="40">
        <f t="shared" si="20"/>
        <v>0.52226300810185189</v>
      </c>
      <c r="V65" s="27">
        <f t="shared" si="10"/>
        <v>12.5596</v>
      </c>
      <c r="W65" s="3">
        <f t="shared" si="11"/>
        <v>9.4196999999999989</v>
      </c>
      <c r="X65" s="23">
        <f t="shared" si="12"/>
        <v>0.8870991782784623</v>
      </c>
      <c r="Y65" s="3"/>
      <c r="Z65" s="3" t="str">
        <f t="shared" si="13"/>
        <v>Batteri</v>
      </c>
      <c r="AA65" s="3">
        <f t="shared" si="14"/>
        <v>1041118.134446</v>
      </c>
      <c r="AB65" s="3">
        <f t="shared" si="23"/>
        <v>62529.617684444449</v>
      </c>
      <c r="AC65" s="3">
        <f t="shared" si="16"/>
        <v>171.31402105327246</v>
      </c>
      <c r="AD65" t="s">
        <v>315</v>
      </c>
      <c r="AE65" s="8" t="s">
        <v>261</v>
      </c>
      <c r="AF65" t="s">
        <v>329</v>
      </c>
      <c r="AG65" t="s">
        <v>333</v>
      </c>
      <c r="AH65" t="s">
        <v>388</v>
      </c>
      <c r="AI65" s="9">
        <v>44926</v>
      </c>
      <c r="AJ65" s="9">
        <v>45657</v>
      </c>
      <c r="AK65" t="s">
        <v>334</v>
      </c>
      <c r="AL65" s="3">
        <f t="shared" si="17"/>
        <v>280774</v>
      </c>
    </row>
    <row r="66" spans="1:38" x14ac:dyDescent="0.3">
      <c r="A66" s="10" t="s">
        <v>43</v>
      </c>
      <c r="B66">
        <v>28</v>
      </c>
      <c r="C66">
        <v>24</v>
      </c>
      <c r="D66">
        <v>10</v>
      </c>
      <c r="E66">
        <v>10</v>
      </c>
      <c r="F66">
        <v>10691</v>
      </c>
      <c r="G66" s="1">
        <v>117601</v>
      </c>
      <c r="H66" s="29">
        <f t="shared" si="1"/>
        <v>0.65</v>
      </c>
      <c r="I66" t="s">
        <v>151</v>
      </c>
      <c r="J66" t="s">
        <v>151</v>
      </c>
      <c r="K66" t="str">
        <f t="shared" si="2"/>
        <v>Ja</v>
      </c>
      <c r="L66">
        <f t="shared" si="3"/>
        <v>20</v>
      </c>
      <c r="M66" s="27">
        <f t="shared" si="4"/>
        <v>130</v>
      </c>
      <c r="N66" s="27">
        <f t="shared" si="5"/>
        <v>482.08893055555558</v>
      </c>
      <c r="O66" s="27">
        <f t="shared" si="6"/>
        <v>28.954290123456794</v>
      </c>
      <c r="P66" s="27">
        <f t="shared" si="19"/>
        <v>803.48155092592594</v>
      </c>
      <c r="Q66" s="27">
        <f t="shared" si="8"/>
        <v>6.4278524074074079</v>
      </c>
      <c r="R66" s="40">
        <f t="shared" si="20"/>
        <v>3.213926203703704</v>
      </c>
      <c r="S66" s="40">
        <f t="shared" si="20"/>
        <v>1.606963101851852</v>
      </c>
      <c r="T66" s="40">
        <f t="shared" si="20"/>
        <v>0.80348155092592599</v>
      </c>
      <c r="U66" s="40">
        <f t="shared" si="20"/>
        <v>0.401740775462963</v>
      </c>
      <c r="V66" s="27">
        <f t="shared" si="10"/>
        <v>8.5611999999999995</v>
      </c>
      <c r="W66" s="3">
        <f t="shared" si="11"/>
        <v>6.4208999999999996</v>
      </c>
      <c r="X66" s="23">
        <f t="shared" si="12"/>
        <v>1.0010827777114437</v>
      </c>
      <c r="Y66" s="3"/>
      <c r="Z66" s="3" t="str">
        <f t="shared" si="13"/>
        <v>H2</v>
      </c>
      <c r="AA66" s="3">
        <f t="shared" si="14"/>
        <v>283444.14697885001</v>
      </c>
      <c r="AB66" s="3">
        <f t="shared" si="23"/>
        <v>17023.672491222223</v>
      </c>
      <c r="AC66" s="3">
        <f t="shared" si="16"/>
        <v>46.640198606088283</v>
      </c>
      <c r="AD66" t="s">
        <v>335</v>
      </c>
      <c r="AE66" s="8" t="s">
        <v>261</v>
      </c>
      <c r="AF66" t="s">
        <v>336</v>
      </c>
      <c r="AG66" t="s">
        <v>215</v>
      </c>
      <c r="AH66" t="s">
        <v>388</v>
      </c>
      <c r="AI66" s="9">
        <v>44926</v>
      </c>
      <c r="AJ66" s="9">
        <v>45657</v>
      </c>
      <c r="AK66" t="s">
        <v>337</v>
      </c>
      <c r="AL66" s="3">
        <f t="shared" si="17"/>
        <v>76440.650000000009</v>
      </c>
    </row>
    <row r="67" spans="1:38" x14ac:dyDescent="0.3">
      <c r="A67" s="10" t="s">
        <v>44</v>
      </c>
      <c r="B67">
        <v>96</v>
      </c>
      <c r="C67">
        <v>28</v>
      </c>
      <c r="D67">
        <v>10</v>
      </c>
      <c r="E67">
        <v>25</v>
      </c>
      <c r="F67">
        <v>34680</v>
      </c>
      <c r="G67" s="1">
        <v>953700</v>
      </c>
      <c r="H67" s="29">
        <f t="shared" si="1"/>
        <v>0.65</v>
      </c>
      <c r="I67" t="s">
        <v>162</v>
      </c>
      <c r="J67" t="s">
        <v>152</v>
      </c>
      <c r="K67" t="str">
        <f t="shared" si="2"/>
        <v>Nei</v>
      </c>
      <c r="L67">
        <f t="shared" si="3"/>
        <v>10</v>
      </c>
      <c r="M67" s="27">
        <f t="shared" si="4"/>
        <v>162.5</v>
      </c>
      <c r="N67" s="27">
        <f t="shared" si="5"/>
        <v>602.61116319444443</v>
      </c>
      <c r="O67" s="27">
        <f t="shared" si="6"/>
        <v>36.19286265432099</v>
      </c>
      <c r="P67" s="27">
        <f t="shared" ref="P67:P98" si="24">N67/0.6</f>
        <v>1004.3519386574075</v>
      </c>
      <c r="Q67" s="27">
        <f t="shared" si="8"/>
        <v>8.0348155092592588</v>
      </c>
      <c r="R67" s="40">
        <f t="shared" si="20"/>
        <v>4.0174077546296294</v>
      </c>
      <c r="S67" s="40">
        <f t="shared" si="20"/>
        <v>2.0087038773148147</v>
      </c>
      <c r="T67" s="40">
        <f t="shared" si="20"/>
        <v>1.0043519386574074</v>
      </c>
      <c r="U67" s="40">
        <f t="shared" si="20"/>
        <v>0.50217596932870368</v>
      </c>
      <c r="V67" s="31">
        <v>25</v>
      </c>
      <c r="W67" s="3">
        <f t="shared" si="11"/>
        <v>18.75</v>
      </c>
      <c r="X67" s="23">
        <f t="shared" si="12"/>
        <v>0.42852349382716048</v>
      </c>
      <c r="Y67" s="3"/>
      <c r="Z67" s="3" t="str">
        <f t="shared" si="13"/>
        <v>Batteri</v>
      </c>
      <c r="AA67" s="3">
        <f t="shared" si="14"/>
        <v>2298625.7172449995</v>
      </c>
      <c r="AB67" s="3">
        <f t="shared" si="23"/>
        <v>138055.59863333331</v>
      </c>
      <c r="AC67" s="3">
        <f t="shared" si="16"/>
        <v>378.23451680365292</v>
      </c>
      <c r="AD67" t="s">
        <v>338</v>
      </c>
      <c r="AE67" s="8" t="s">
        <v>261</v>
      </c>
      <c r="AF67" t="s">
        <v>339</v>
      </c>
      <c r="AG67" s="5" t="s">
        <v>265</v>
      </c>
      <c r="AH67" s="5" t="s">
        <v>388</v>
      </c>
      <c r="AI67" s="9">
        <v>44926</v>
      </c>
      <c r="AJ67" s="9">
        <v>45657</v>
      </c>
      <c r="AK67" t="s">
        <v>307</v>
      </c>
      <c r="AL67" s="3">
        <f t="shared" si="17"/>
        <v>619905</v>
      </c>
    </row>
    <row r="68" spans="1:38" x14ac:dyDescent="0.3">
      <c r="A68" s="10" t="s">
        <v>37</v>
      </c>
      <c r="B68">
        <v>180</v>
      </c>
      <c r="C68">
        <v>30</v>
      </c>
      <c r="D68">
        <v>9</v>
      </c>
      <c r="E68">
        <v>20</v>
      </c>
      <c r="F68">
        <v>26026</v>
      </c>
      <c r="G68" s="1">
        <v>572572</v>
      </c>
      <c r="H68" s="29">
        <f t="shared" ref="H68:H98" si="25">$H$1</f>
        <v>0.65</v>
      </c>
      <c r="I68" t="s">
        <v>105</v>
      </c>
      <c r="J68" t="s">
        <v>105</v>
      </c>
      <c r="K68" t="str">
        <f t="shared" ref="K68:K98" si="26">IF(I68=J68,"Ja","Nei")</f>
        <v>Ja</v>
      </c>
      <c r="L68">
        <f t="shared" ref="L68:L98" si="27">IF(K68="Ja",2,1)*D68</f>
        <v>18</v>
      </c>
      <c r="M68" s="27">
        <f t="shared" ref="M68:M98" si="28">L68*E68*H68</f>
        <v>234</v>
      </c>
      <c r="N68" s="27">
        <f t="shared" ref="N68:N98" si="29">M68*0.845*(42.7/3.6)*0.37</f>
        <v>867.76007500000003</v>
      </c>
      <c r="O68" s="27">
        <f t="shared" ref="O68:O98" si="30">N68/0.5/33.3</f>
        <v>52.117722222222227</v>
      </c>
      <c r="P68" s="27">
        <f t="shared" si="24"/>
        <v>1446.2667916666667</v>
      </c>
      <c r="Q68" s="27">
        <f t="shared" ref="Q68:Q98" si="31">P68*8/1000</f>
        <v>11.570134333333334</v>
      </c>
      <c r="R68" s="40">
        <f t="shared" ref="R68:U98" si="32">$P68/(R$1/60)/1000</f>
        <v>5.7850671666666669</v>
      </c>
      <c r="S68" s="40">
        <f t="shared" si="32"/>
        <v>2.8925335833333334</v>
      </c>
      <c r="T68" s="40">
        <f t="shared" si="32"/>
        <v>1.4462667916666667</v>
      </c>
      <c r="U68" s="40">
        <f t="shared" si="32"/>
        <v>0.72313339583333336</v>
      </c>
      <c r="V68" s="27">
        <f t="shared" ref="V68:V98" si="33">(0.0952*B68 + 5.8956)</f>
        <v>23.031600000000005</v>
      </c>
      <c r="W68" s="3">
        <f t="shared" ref="W68:W98" si="34">IF(Y68&lt;&gt;"n/a",0.75*V68,"n/a")</f>
        <v>17.273700000000005</v>
      </c>
      <c r="X68" s="23">
        <f t="shared" ref="X68:X98" si="35">IF(Y68&lt;&gt;"n/a",Q68/W68,"")</f>
        <v>0.66981216145546874</v>
      </c>
      <c r="Y68" s="3" t="s">
        <v>376</v>
      </c>
      <c r="Z68" s="3" t="str">
        <f t="shared" ref="Z68:Z98" si="36">_xlfn.IFS(Y68&lt;&gt;"",Y68,W68&gt;Q68,"Batteri",TRUE,"H2")</f>
        <v>H2</v>
      </c>
      <c r="AA68" s="3">
        <f t="shared" ref="AA68:AA98" si="37">G68*H68*0.845*11.86*0.37</f>
        <v>1380023.8273821999</v>
      </c>
      <c r="AB68" s="3">
        <f t="shared" si="23"/>
        <v>82884.313956888887</v>
      </c>
      <c r="AC68" s="3">
        <f t="shared" ref="AC68:AC87" si="38">AB68/365</f>
        <v>227.08031221065448</v>
      </c>
      <c r="AD68" t="s">
        <v>37</v>
      </c>
      <c r="AE68" s="8" t="s">
        <v>224</v>
      </c>
      <c r="AF68">
        <v>2090</v>
      </c>
      <c r="AG68" t="s">
        <v>215</v>
      </c>
      <c r="AH68" t="s">
        <v>388</v>
      </c>
      <c r="AI68" s="9">
        <v>44561</v>
      </c>
      <c r="AJ68" s="9">
        <v>44926</v>
      </c>
      <c r="AK68" t="s">
        <v>328</v>
      </c>
      <c r="AL68" s="3">
        <f t="shared" ref="AL68:AL98" si="39">G68*H68</f>
        <v>372171.8</v>
      </c>
    </row>
    <row r="69" spans="1:38" x14ac:dyDescent="0.3">
      <c r="A69" s="10" t="s">
        <v>38</v>
      </c>
      <c r="B69">
        <v>76</v>
      </c>
      <c r="C69">
        <v>26</v>
      </c>
      <c r="D69">
        <v>9</v>
      </c>
      <c r="E69">
        <v>14</v>
      </c>
      <c r="F69">
        <v>32130</v>
      </c>
      <c r="G69" s="1">
        <v>494802</v>
      </c>
      <c r="H69" s="29">
        <f t="shared" si="25"/>
        <v>0.65</v>
      </c>
      <c r="I69" t="s">
        <v>163</v>
      </c>
      <c r="J69" t="s">
        <v>164</v>
      </c>
      <c r="K69" t="str">
        <f t="shared" si="26"/>
        <v>Nei</v>
      </c>
      <c r="L69">
        <f t="shared" si="27"/>
        <v>9</v>
      </c>
      <c r="M69" s="27">
        <f t="shared" si="28"/>
        <v>81.900000000000006</v>
      </c>
      <c r="N69" s="27">
        <f t="shared" si="29"/>
        <v>303.71602625000003</v>
      </c>
      <c r="O69" s="27">
        <f t="shared" si="30"/>
        <v>18.241202777777779</v>
      </c>
      <c r="P69" s="27">
        <f t="shared" si="24"/>
        <v>506.19337708333342</v>
      </c>
      <c r="Q69" s="27">
        <f t="shared" si="31"/>
        <v>4.0495470166666676</v>
      </c>
      <c r="R69" s="40">
        <f t="shared" si="32"/>
        <v>2.0247735083333338</v>
      </c>
      <c r="S69" s="40">
        <f t="shared" si="32"/>
        <v>1.0123867541666669</v>
      </c>
      <c r="T69" s="40">
        <f t="shared" si="32"/>
        <v>0.50619337708333345</v>
      </c>
      <c r="U69" s="40">
        <f t="shared" si="32"/>
        <v>0.25309668854166673</v>
      </c>
      <c r="V69" s="27">
        <f t="shared" si="33"/>
        <v>13.130800000000001</v>
      </c>
      <c r="W69" s="3">
        <f t="shared" si="34"/>
        <v>9.8481000000000005</v>
      </c>
      <c r="X69" s="23">
        <f t="shared" si="35"/>
        <v>0.41120084246369021</v>
      </c>
      <c r="Y69" s="3"/>
      <c r="Z69" s="3" t="str">
        <f t="shared" si="36"/>
        <v>Batteri</v>
      </c>
      <c r="AA69" s="3">
        <f t="shared" si="37"/>
        <v>1192581.1074176999</v>
      </c>
      <c r="AB69" s="3">
        <f t="shared" si="23"/>
        <v>71626.492937999996</v>
      </c>
      <c r="AC69" s="3">
        <f t="shared" si="38"/>
        <v>196.23696695342466</v>
      </c>
      <c r="AE69" s="8" t="s">
        <v>340</v>
      </c>
      <c r="AG69" t="s">
        <v>215</v>
      </c>
      <c r="AH69" t="s">
        <v>390</v>
      </c>
      <c r="AI69" s="9">
        <v>49674</v>
      </c>
      <c r="AJ69" s="9">
        <v>49674</v>
      </c>
      <c r="AK69" t="s">
        <v>418</v>
      </c>
      <c r="AL69" s="3">
        <f t="shared" si="39"/>
        <v>321621.3</v>
      </c>
    </row>
    <row r="70" spans="1:38" x14ac:dyDescent="0.3">
      <c r="A70" s="6" t="s">
        <v>36</v>
      </c>
      <c r="D70">
        <v>8.6</v>
      </c>
      <c r="E70">
        <v>5</v>
      </c>
      <c r="F70">
        <v>3283</v>
      </c>
      <c r="G70" s="1">
        <v>18057</v>
      </c>
      <c r="H70" s="29">
        <f t="shared" si="25"/>
        <v>0.65</v>
      </c>
      <c r="I70" t="s">
        <v>165</v>
      </c>
      <c r="J70" t="s">
        <v>167</v>
      </c>
      <c r="K70" t="str">
        <f t="shared" si="26"/>
        <v>Nei</v>
      </c>
      <c r="L70">
        <f t="shared" si="27"/>
        <v>8.6</v>
      </c>
      <c r="M70" s="27">
        <f t="shared" si="28"/>
        <v>27.95</v>
      </c>
      <c r="N70" s="27">
        <f t="shared" si="29"/>
        <v>103.64912006944445</v>
      </c>
      <c r="O70" s="27">
        <f t="shared" si="30"/>
        <v>6.2251723765432105</v>
      </c>
      <c r="P70" s="27">
        <f t="shared" si="24"/>
        <v>172.7485334490741</v>
      </c>
      <c r="Q70" s="27">
        <f t="shared" si="31"/>
        <v>1.3819882675925927</v>
      </c>
      <c r="R70" s="40">
        <f t="shared" si="32"/>
        <v>0.69099413379629637</v>
      </c>
      <c r="S70" s="40">
        <f t="shared" si="32"/>
        <v>0.34549706689814819</v>
      </c>
      <c r="T70" s="40">
        <f t="shared" si="32"/>
        <v>0.17274853344907409</v>
      </c>
      <c r="U70" s="40">
        <f t="shared" si="32"/>
        <v>8.6374266724537047E-2</v>
      </c>
      <c r="V70" s="27">
        <f t="shared" si="33"/>
        <v>5.8956</v>
      </c>
      <c r="W70" s="3" t="str">
        <f t="shared" si="34"/>
        <v>n/a</v>
      </c>
      <c r="X70" s="23" t="str">
        <f t="shared" si="35"/>
        <v/>
      </c>
      <c r="Y70" s="3" t="s">
        <v>380</v>
      </c>
      <c r="Z70" s="3" t="str">
        <f t="shared" si="36"/>
        <v>n/a</v>
      </c>
      <c r="AA70" s="3">
        <f t="shared" si="37"/>
        <v>43521.321774449993</v>
      </c>
      <c r="AB70" s="3">
        <f t="shared" si="23"/>
        <v>2613.8931996666665</v>
      </c>
      <c r="AC70" s="3">
        <f t="shared" si="38"/>
        <v>7.1613512319634696</v>
      </c>
      <c r="AL70" s="3">
        <f t="shared" si="39"/>
        <v>11737.050000000001</v>
      </c>
    </row>
    <row r="71" spans="1:38" x14ac:dyDescent="0.3">
      <c r="A71" s="6" t="s">
        <v>33</v>
      </c>
      <c r="D71">
        <v>8</v>
      </c>
      <c r="E71">
        <v>6</v>
      </c>
      <c r="F71">
        <v>1991</v>
      </c>
      <c r="G71" s="1">
        <v>13141</v>
      </c>
      <c r="H71" s="29">
        <f t="shared" si="25"/>
        <v>0.65</v>
      </c>
      <c r="I71" t="s">
        <v>33</v>
      </c>
      <c r="J71" t="s">
        <v>33</v>
      </c>
      <c r="K71" t="str">
        <f t="shared" si="26"/>
        <v>Ja</v>
      </c>
      <c r="L71">
        <f t="shared" si="27"/>
        <v>16</v>
      </c>
      <c r="M71" s="27">
        <f t="shared" si="28"/>
        <v>62.400000000000006</v>
      </c>
      <c r="N71" s="27">
        <f t="shared" si="29"/>
        <v>231.40268666666668</v>
      </c>
      <c r="O71" s="27">
        <f t="shared" si="30"/>
        <v>13.898059259259261</v>
      </c>
      <c r="P71" s="27">
        <f t="shared" si="24"/>
        <v>385.67114444444451</v>
      </c>
      <c r="Q71" s="27">
        <f t="shared" si="31"/>
        <v>3.085369155555556</v>
      </c>
      <c r="R71" s="40">
        <f t="shared" si="32"/>
        <v>1.542684577777778</v>
      </c>
      <c r="S71" s="40">
        <f t="shared" si="32"/>
        <v>0.771342288888889</v>
      </c>
      <c r="T71" s="40">
        <f t="shared" si="32"/>
        <v>0.3856711444444445</v>
      </c>
      <c r="U71" s="40">
        <f t="shared" si="32"/>
        <v>0.19283557222222225</v>
      </c>
      <c r="V71" s="27">
        <f t="shared" si="33"/>
        <v>5.8956</v>
      </c>
      <c r="W71" s="3" t="str">
        <f t="shared" si="34"/>
        <v>n/a</v>
      </c>
      <c r="X71" s="23" t="str">
        <f t="shared" si="35"/>
        <v/>
      </c>
      <c r="Y71" s="3" t="s">
        <v>380</v>
      </c>
      <c r="Z71" s="3" t="str">
        <f t="shared" si="36"/>
        <v>n/a</v>
      </c>
      <c r="AA71" s="3">
        <f t="shared" si="37"/>
        <v>31672.685907849995</v>
      </c>
      <c r="AB71" s="3">
        <f t="shared" si="23"/>
        <v>1902.2634178888886</v>
      </c>
      <c r="AC71" s="3">
        <f t="shared" si="38"/>
        <v>5.2116805969558593</v>
      </c>
      <c r="AL71" s="3">
        <f t="shared" si="39"/>
        <v>8541.65</v>
      </c>
    </row>
    <row r="72" spans="1:38" x14ac:dyDescent="0.3">
      <c r="A72" s="10" t="s">
        <v>34</v>
      </c>
      <c r="B72">
        <v>48</v>
      </c>
      <c r="C72">
        <v>19.899999999999999</v>
      </c>
      <c r="D72">
        <v>8</v>
      </c>
      <c r="E72">
        <v>15</v>
      </c>
      <c r="F72">
        <v>12110</v>
      </c>
      <c r="G72" s="1">
        <v>199815</v>
      </c>
      <c r="H72" s="29">
        <f t="shared" si="25"/>
        <v>0.65</v>
      </c>
      <c r="I72" t="s">
        <v>168</v>
      </c>
      <c r="J72" t="s">
        <v>168</v>
      </c>
      <c r="K72" t="str">
        <f t="shared" si="26"/>
        <v>Ja</v>
      </c>
      <c r="L72">
        <f t="shared" si="27"/>
        <v>16</v>
      </c>
      <c r="M72" s="27">
        <f t="shared" si="28"/>
        <v>156</v>
      </c>
      <c r="N72" s="27">
        <f t="shared" si="29"/>
        <v>578.50671666666665</v>
      </c>
      <c r="O72" s="27">
        <f t="shared" si="30"/>
        <v>34.745148148148147</v>
      </c>
      <c r="P72" s="27">
        <f t="shared" si="24"/>
        <v>964.17786111111116</v>
      </c>
      <c r="Q72" s="27">
        <f t="shared" si="31"/>
        <v>7.7134228888888892</v>
      </c>
      <c r="R72" s="40">
        <f t="shared" si="32"/>
        <v>3.8567114444444446</v>
      </c>
      <c r="S72" s="40">
        <f t="shared" si="32"/>
        <v>1.9283557222222223</v>
      </c>
      <c r="T72" s="40">
        <f t="shared" si="32"/>
        <v>0.96417786111111115</v>
      </c>
      <c r="U72" s="40">
        <f t="shared" si="32"/>
        <v>0.48208893055555557</v>
      </c>
      <c r="V72" s="27">
        <f t="shared" si="33"/>
        <v>10.465199999999999</v>
      </c>
      <c r="W72" s="3">
        <f t="shared" si="34"/>
        <v>7.8488999999999995</v>
      </c>
      <c r="X72" s="23">
        <f t="shared" si="35"/>
        <v>0.98273935059548334</v>
      </c>
      <c r="Y72" s="3"/>
      <c r="Z72" s="3" t="str">
        <f t="shared" si="36"/>
        <v>Batteri</v>
      </c>
      <c r="AA72" s="3">
        <f t="shared" si="37"/>
        <v>481597.87951274996</v>
      </c>
      <c r="AB72" s="3">
        <f t="shared" si="23"/>
        <v>28924.797568333335</v>
      </c>
      <c r="AC72" s="3">
        <f t="shared" si="38"/>
        <v>79.246020735159817</v>
      </c>
      <c r="AD72" t="s">
        <v>34</v>
      </c>
      <c r="AE72" s="8" t="s">
        <v>341</v>
      </c>
      <c r="AF72" t="s">
        <v>342</v>
      </c>
      <c r="AG72" t="s">
        <v>215</v>
      </c>
      <c r="AH72" t="s">
        <v>15</v>
      </c>
      <c r="AI72" s="9">
        <v>43880</v>
      </c>
      <c r="AJ72" s="9">
        <v>44561</v>
      </c>
      <c r="AK72" t="s">
        <v>337</v>
      </c>
      <c r="AL72" s="3">
        <f t="shared" si="39"/>
        <v>129879.75</v>
      </c>
    </row>
    <row r="73" spans="1:38" x14ac:dyDescent="0.3">
      <c r="A73" s="10" t="s">
        <v>35</v>
      </c>
      <c r="B73">
        <v>130</v>
      </c>
      <c r="C73">
        <v>25</v>
      </c>
      <c r="D73">
        <v>8</v>
      </c>
      <c r="E73">
        <v>12</v>
      </c>
      <c r="F73">
        <v>67392</v>
      </c>
      <c r="G73" s="1">
        <v>954089</v>
      </c>
      <c r="H73" s="29">
        <f>H6</f>
        <v>0.9</v>
      </c>
      <c r="I73" t="s">
        <v>109</v>
      </c>
      <c r="J73" t="s">
        <v>169</v>
      </c>
      <c r="K73" t="str">
        <f t="shared" si="26"/>
        <v>Nei</v>
      </c>
      <c r="L73">
        <f t="shared" si="27"/>
        <v>8</v>
      </c>
      <c r="M73" s="27">
        <f t="shared" si="28"/>
        <v>86.4</v>
      </c>
      <c r="N73" s="27">
        <f t="shared" si="29"/>
        <v>320.40372000000002</v>
      </c>
      <c r="O73" s="27">
        <f t="shared" si="30"/>
        <v>19.24346666666667</v>
      </c>
      <c r="P73" s="27">
        <f t="shared" si="24"/>
        <v>534.00620000000004</v>
      </c>
      <c r="Q73" s="27">
        <f t="shared" si="31"/>
        <v>4.2720495999999999</v>
      </c>
      <c r="R73" s="40">
        <f t="shared" si="32"/>
        <v>2.1360247999999999</v>
      </c>
      <c r="S73" s="40">
        <f t="shared" si="32"/>
        <v>1.0680124</v>
      </c>
      <c r="T73" s="40">
        <f t="shared" si="32"/>
        <v>0.53400619999999999</v>
      </c>
      <c r="U73" s="40">
        <f t="shared" si="32"/>
        <v>0.26700309999999999</v>
      </c>
      <c r="V73" s="27">
        <f t="shared" si="33"/>
        <v>18.271599999999999</v>
      </c>
      <c r="W73" s="3">
        <f t="shared" si="34"/>
        <v>13.7037</v>
      </c>
      <c r="X73" s="23">
        <f t="shared" si="35"/>
        <v>0.31174424425520114</v>
      </c>
      <c r="Y73" s="3"/>
      <c r="Z73" s="3" t="str">
        <f t="shared" si="36"/>
        <v>Batteri</v>
      </c>
      <c r="AA73" s="3">
        <f t="shared" si="37"/>
        <v>3184010.7125228997</v>
      </c>
      <c r="AB73" s="3">
        <f t="shared" si="23"/>
        <v>191231.874626</v>
      </c>
      <c r="AC73" s="3">
        <f t="shared" si="38"/>
        <v>523.9229441808219</v>
      </c>
      <c r="AD73" t="s">
        <v>343</v>
      </c>
      <c r="AE73" s="8" t="s">
        <v>221</v>
      </c>
      <c r="AF73">
        <v>810</v>
      </c>
      <c r="AG73" t="s">
        <v>215</v>
      </c>
      <c r="AH73" t="s">
        <v>19</v>
      </c>
      <c r="AI73" s="9">
        <v>44561</v>
      </c>
      <c r="AJ73" s="9">
        <v>45291</v>
      </c>
      <c r="AL73" s="3">
        <f t="shared" si="39"/>
        <v>858680.1</v>
      </c>
    </row>
    <row r="74" spans="1:38" x14ac:dyDescent="0.3">
      <c r="A74" s="10" t="s">
        <v>32</v>
      </c>
      <c r="B74">
        <v>70</v>
      </c>
      <c r="C74">
        <v>25</v>
      </c>
      <c r="D74">
        <v>7</v>
      </c>
      <c r="E74">
        <v>28</v>
      </c>
      <c r="F74">
        <v>94322</v>
      </c>
      <c r="G74" s="1">
        <v>2905118</v>
      </c>
      <c r="H74" s="29">
        <f t="shared" si="25"/>
        <v>0.65</v>
      </c>
      <c r="I74" t="s">
        <v>123</v>
      </c>
      <c r="J74" t="s">
        <v>123</v>
      </c>
      <c r="K74" t="str">
        <f t="shared" si="26"/>
        <v>Ja</v>
      </c>
      <c r="L74">
        <f t="shared" si="27"/>
        <v>14</v>
      </c>
      <c r="M74" s="27">
        <f t="shared" si="28"/>
        <v>254.8</v>
      </c>
      <c r="N74" s="27">
        <f t="shared" si="29"/>
        <v>944.894303888889</v>
      </c>
      <c r="O74" s="27">
        <f t="shared" si="30"/>
        <v>56.750408641975319</v>
      </c>
      <c r="P74" s="27">
        <f t="shared" si="24"/>
        <v>1574.8238398148151</v>
      </c>
      <c r="Q74" s="27">
        <f t="shared" si="31"/>
        <v>12.598590718518521</v>
      </c>
      <c r="R74" s="40">
        <f t="shared" si="32"/>
        <v>6.2992953592592604</v>
      </c>
      <c r="S74" s="40">
        <f t="shared" si="32"/>
        <v>3.1496476796296302</v>
      </c>
      <c r="T74" s="40">
        <f t="shared" si="32"/>
        <v>1.5748238398148151</v>
      </c>
      <c r="U74" s="40">
        <f t="shared" si="32"/>
        <v>0.78741191990740755</v>
      </c>
      <c r="V74" s="31">
        <v>57.8</v>
      </c>
      <c r="W74" s="3">
        <f t="shared" si="34"/>
        <v>43.349999999999994</v>
      </c>
      <c r="X74" s="23">
        <f t="shared" si="35"/>
        <v>0.29062493006963142</v>
      </c>
      <c r="Y74" s="3"/>
      <c r="Z74" s="3" t="str">
        <f t="shared" si="36"/>
        <v>Batteri</v>
      </c>
      <c r="AA74" s="3">
        <f t="shared" si="37"/>
        <v>7001970.1650742982</v>
      </c>
      <c r="AB74" s="3">
        <f t="shared" si="23"/>
        <v>420538.74865311105</v>
      </c>
      <c r="AC74" s="3">
        <f t="shared" si="38"/>
        <v>1152.1609552140028</v>
      </c>
      <c r="AD74" s="5" t="s">
        <v>344</v>
      </c>
      <c r="AE74" s="8" t="s">
        <v>229</v>
      </c>
      <c r="AF74" s="5">
        <v>350</v>
      </c>
      <c r="AG74" s="5" t="s">
        <v>265</v>
      </c>
      <c r="AH74" s="5" t="s">
        <v>389</v>
      </c>
      <c r="AI74" s="9">
        <v>46022</v>
      </c>
      <c r="AJ74" s="9">
        <v>46022</v>
      </c>
      <c r="AK74" s="11" t="s">
        <v>345</v>
      </c>
      <c r="AL74" s="3">
        <f t="shared" si="39"/>
        <v>1888326.7</v>
      </c>
    </row>
    <row r="75" spans="1:38" x14ac:dyDescent="0.3">
      <c r="A75" s="10" t="s">
        <v>28</v>
      </c>
      <c r="B75">
        <v>64</v>
      </c>
      <c r="D75">
        <v>6</v>
      </c>
      <c r="E75">
        <v>12</v>
      </c>
      <c r="F75">
        <v>11011</v>
      </c>
      <c r="G75" s="1">
        <v>145345</v>
      </c>
      <c r="H75" s="29">
        <f t="shared" si="25"/>
        <v>0.65</v>
      </c>
      <c r="I75" t="s">
        <v>28</v>
      </c>
      <c r="J75" t="s">
        <v>28</v>
      </c>
      <c r="K75" t="str">
        <f t="shared" si="26"/>
        <v>Ja</v>
      </c>
      <c r="L75">
        <f t="shared" si="27"/>
        <v>12</v>
      </c>
      <c r="M75" s="27">
        <f t="shared" si="28"/>
        <v>93.600000000000009</v>
      </c>
      <c r="N75" s="27">
        <f t="shared" si="29"/>
        <v>347.10403000000002</v>
      </c>
      <c r="O75" s="27">
        <f t="shared" si="30"/>
        <v>20.847088888888891</v>
      </c>
      <c r="P75" s="27">
        <f t="shared" si="24"/>
        <v>578.50671666666676</v>
      </c>
      <c r="Q75" s="27">
        <f t="shared" si="31"/>
        <v>4.628053733333334</v>
      </c>
      <c r="R75" s="40">
        <f t="shared" si="32"/>
        <v>2.314026866666667</v>
      </c>
      <c r="S75" s="40">
        <f t="shared" si="32"/>
        <v>1.1570134333333335</v>
      </c>
      <c r="T75" s="40">
        <f t="shared" si="32"/>
        <v>0.57850671666666675</v>
      </c>
      <c r="U75" s="40">
        <f t="shared" si="32"/>
        <v>0.28925335833333338</v>
      </c>
      <c r="V75" s="27">
        <f t="shared" si="33"/>
        <v>11.9884</v>
      </c>
      <c r="W75" s="3">
        <f t="shared" si="34"/>
        <v>8.9913000000000007</v>
      </c>
      <c r="X75" s="23">
        <f t="shared" si="35"/>
        <v>0.51472576082805976</v>
      </c>
      <c r="Y75" s="3"/>
      <c r="Z75" s="3" t="str">
        <f t="shared" si="36"/>
        <v>Batteri</v>
      </c>
      <c r="AA75" s="3">
        <f t="shared" si="37"/>
        <v>350313.25875324995</v>
      </c>
      <c r="AB75" s="3">
        <f t="shared" si="23"/>
        <v>21039.835360555553</v>
      </c>
      <c r="AC75" s="3">
        <f t="shared" si="38"/>
        <v>57.643384549467271</v>
      </c>
      <c r="AD75" t="s">
        <v>28</v>
      </c>
      <c r="AE75" s="8" t="s">
        <v>346</v>
      </c>
      <c r="AF75" t="s">
        <v>347</v>
      </c>
      <c r="AG75" t="s">
        <v>215</v>
      </c>
      <c r="AH75" t="s">
        <v>15</v>
      </c>
      <c r="AI75" s="9">
        <v>44196</v>
      </c>
      <c r="AJ75" s="9">
        <v>44196</v>
      </c>
      <c r="AL75" s="3">
        <f t="shared" si="39"/>
        <v>94474.25</v>
      </c>
    </row>
    <row r="76" spans="1:38" x14ac:dyDescent="0.3">
      <c r="A76" s="6" t="s">
        <v>29</v>
      </c>
      <c r="B76">
        <v>48</v>
      </c>
      <c r="C76">
        <v>30</v>
      </c>
      <c r="D76">
        <v>6</v>
      </c>
      <c r="E76">
        <v>12</v>
      </c>
      <c r="F76">
        <v>8203</v>
      </c>
      <c r="G76" s="1">
        <v>108280</v>
      </c>
      <c r="H76" s="29">
        <f t="shared" si="25"/>
        <v>0.65</v>
      </c>
      <c r="I76" t="s">
        <v>29</v>
      </c>
      <c r="J76" t="s">
        <v>29</v>
      </c>
      <c r="K76" t="str">
        <f t="shared" si="26"/>
        <v>Ja</v>
      </c>
      <c r="L76">
        <f t="shared" si="27"/>
        <v>12</v>
      </c>
      <c r="M76" s="27">
        <f t="shared" si="28"/>
        <v>93.600000000000009</v>
      </c>
      <c r="N76" s="27">
        <f t="shared" si="29"/>
        <v>347.10403000000002</v>
      </c>
      <c r="O76" s="27">
        <f t="shared" si="30"/>
        <v>20.847088888888891</v>
      </c>
      <c r="P76" s="27">
        <f t="shared" si="24"/>
        <v>578.50671666666676</v>
      </c>
      <c r="Q76" s="27">
        <f t="shared" si="31"/>
        <v>4.628053733333334</v>
      </c>
      <c r="R76" s="40">
        <f t="shared" si="32"/>
        <v>2.314026866666667</v>
      </c>
      <c r="S76" s="40">
        <f t="shared" si="32"/>
        <v>1.1570134333333335</v>
      </c>
      <c r="T76" s="40">
        <f t="shared" si="32"/>
        <v>0.57850671666666675</v>
      </c>
      <c r="U76" s="40">
        <f t="shared" si="32"/>
        <v>0.28925335833333338</v>
      </c>
      <c r="V76" s="27">
        <f t="shared" si="33"/>
        <v>10.465199999999999</v>
      </c>
      <c r="W76" s="3" t="str">
        <f t="shared" si="34"/>
        <v>n/a</v>
      </c>
      <c r="X76" s="23" t="str">
        <f t="shared" si="35"/>
        <v/>
      </c>
      <c r="Y76" s="3" t="s">
        <v>380</v>
      </c>
      <c r="Z76" s="3" t="str">
        <f t="shared" si="36"/>
        <v>n/a</v>
      </c>
      <c r="AA76" s="3">
        <f t="shared" si="37"/>
        <v>260978.49707799999</v>
      </c>
      <c r="AB76" s="3">
        <f t="shared" si="23"/>
        <v>15674.384208888889</v>
      </c>
      <c r="AC76" s="3">
        <f t="shared" si="38"/>
        <v>42.943518380517503</v>
      </c>
      <c r="AF76" t="s">
        <v>348</v>
      </c>
      <c r="AK76" t="s">
        <v>349</v>
      </c>
      <c r="AL76" s="3">
        <f t="shared" si="39"/>
        <v>70382</v>
      </c>
    </row>
    <row r="77" spans="1:38" x14ac:dyDescent="0.3">
      <c r="A77" s="6" t="s">
        <v>30</v>
      </c>
      <c r="B77">
        <v>80</v>
      </c>
      <c r="C77">
        <v>26</v>
      </c>
      <c r="D77">
        <v>6</v>
      </c>
      <c r="E77">
        <v>18</v>
      </c>
      <c r="F77">
        <v>20126</v>
      </c>
      <c r="G77" s="1">
        <v>398495</v>
      </c>
      <c r="H77" s="29">
        <f t="shared" si="25"/>
        <v>0.65</v>
      </c>
      <c r="I77" t="s">
        <v>170</v>
      </c>
      <c r="J77" t="s">
        <v>171</v>
      </c>
      <c r="K77" t="str">
        <f t="shared" si="26"/>
        <v>Nei</v>
      </c>
      <c r="L77">
        <f t="shared" si="27"/>
        <v>6</v>
      </c>
      <c r="M77" s="27">
        <f t="shared" si="28"/>
        <v>70.2</v>
      </c>
      <c r="N77" s="27">
        <f t="shared" si="29"/>
        <v>260.32802250000003</v>
      </c>
      <c r="O77" s="27">
        <f t="shared" si="30"/>
        <v>15.63531666666667</v>
      </c>
      <c r="P77" s="27">
        <f t="shared" si="24"/>
        <v>433.88003750000007</v>
      </c>
      <c r="Q77" s="27">
        <f t="shared" si="31"/>
        <v>3.4710403000000007</v>
      </c>
      <c r="R77" s="40">
        <f t="shared" si="32"/>
        <v>1.7355201500000004</v>
      </c>
      <c r="S77" s="40">
        <f t="shared" si="32"/>
        <v>0.86776007500000019</v>
      </c>
      <c r="T77" s="40">
        <f t="shared" si="32"/>
        <v>0.43388003750000009</v>
      </c>
      <c r="U77" s="40">
        <f t="shared" si="32"/>
        <v>0.21694001875000005</v>
      </c>
      <c r="V77" s="27">
        <f t="shared" si="33"/>
        <v>13.511600000000001</v>
      </c>
      <c r="W77" s="3" t="str">
        <f t="shared" si="34"/>
        <v>n/a</v>
      </c>
      <c r="X77" s="23" t="str">
        <f t="shared" si="35"/>
        <v/>
      </c>
      <c r="Y77" s="3" t="s">
        <v>380</v>
      </c>
      <c r="Z77" s="3" t="str">
        <f t="shared" si="36"/>
        <v>n/a</v>
      </c>
      <c r="AA77" s="3">
        <f t="shared" si="37"/>
        <v>960460.16063075</v>
      </c>
      <c r="AB77" s="3">
        <f t="shared" si="23"/>
        <v>57685.294932777782</v>
      </c>
      <c r="AC77" s="3">
        <f t="shared" si="38"/>
        <v>158.04190392541858</v>
      </c>
      <c r="AE77" s="8" t="s">
        <v>15</v>
      </c>
      <c r="AF77" t="s">
        <v>350</v>
      </c>
      <c r="AG77" s="5"/>
      <c r="AH77" s="5"/>
      <c r="AK77" t="s">
        <v>383</v>
      </c>
      <c r="AL77" s="3">
        <f t="shared" si="39"/>
        <v>259021.75</v>
      </c>
    </row>
    <row r="78" spans="1:38" x14ac:dyDescent="0.3">
      <c r="A78" s="10" t="s">
        <v>31</v>
      </c>
      <c r="B78">
        <v>48</v>
      </c>
      <c r="C78">
        <v>20</v>
      </c>
      <c r="D78">
        <v>6</v>
      </c>
      <c r="E78">
        <v>15</v>
      </c>
      <c r="F78">
        <v>44188</v>
      </c>
      <c r="G78" s="1">
        <v>729102</v>
      </c>
      <c r="H78" s="29">
        <f t="shared" si="25"/>
        <v>0.65</v>
      </c>
      <c r="I78" t="s">
        <v>112</v>
      </c>
      <c r="J78" t="s">
        <v>172</v>
      </c>
      <c r="K78" t="str">
        <f t="shared" si="26"/>
        <v>Nei</v>
      </c>
      <c r="L78">
        <f t="shared" si="27"/>
        <v>6</v>
      </c>
      <c r="M78" s="27">
        <f t="shared" si="28"/>
        <v>58.5</v>
      </c>
      <c r="N78" s="27">
        <f t="shared" si="29"/>
        <v>216.94001875000001</v>
      </c>
      <c r="O78" s="27">
        <f t="shared" si="30"/>
        <v>13.029430555555557</v>
      </c>
      <c r="P78" s="27">
        <f t="shared" si="24"/>
        <v>361.56669791666667</v>
      </c>
      <c r="Q78" s="27">
        <f t="shared" si="31"/>
        <v>2.8925335833333334</v>
      </c>
      <c r="R78" s="40">
        <f t="shared" si="32"/>
        <v>1.4462667916666667</v>
      </c>
      <c r="S78" s="40">
        <f t="shared" si="32"/>
        <v>0.72313339583333336</v>
      </c>
      <c r="T78" s="40">
        <f t="shared" si="32"/>
        <v>0.36156669791666668</v>
      </c>
      <c r="U78" s="40">
        <f t="shared" si="32"/>
        <v>0.18078334895833334</v>
      </c>
      <c r="V78" s="27">
        <f t="shared" si="33"/>
        <v>10.465199999999999</v>
      </c>
      <c r="W78" s="3">
        <f t="shared" si="34"/>
        <v>7.8488999999999995</v>
      </c>
      <c r="X78" s="23">
        <f t="shared" si="35"/>
        <v>0.36852725647330625</v>
      </c>
      <c r="Y78" s="3"/>
      <c r="Z78" s="3" t="str">
        <f t="shared" si="36"/>
        <v>Batteri</v>
      </c>
      <c r="AA78" s="3">
        <f t="shared" si="37"/>
        <v>1757295.3839726998</v>
      </c>
      <c r="AB78" s="3">
        <f t="shared" si="23"/>
        <v>105543.26630466666</v>
      </c>
      <c r="AC78" s="3">
        <f t="shared" si="38"/>
        <v>289.15963371141549</v>
      </c>
      <c r="AD78" t="s">
        <v>31</v>
      </c>
      <c r="AE78" s="8" t="s">
        <v>288</v>
      </c>
      <c r="AF78" t="s">
        <v>351</v>
      </c>
      <c r="AG78" t="s">
        <v>215</v>
      </c>
      <c r="AH78" t="s">
        <v>15</v>
      </c>
      <c r="AI78" s="9">
        <v>43951</v>
      </c>
      <c r="AJ78" s="9">
        <v>43951</v>
      </c>
      <c r="AK78" t="s">
        <v>352</v>
      </c>
      <c r="AL78" s="3">
        <f t="shared" si="39"/>
        <v>473916.3</v>
      </c>
    </row>
    <row r="79" spans="1:38" x14ac:dyDescent="0.3">
      <c r="A79" s="10" t="s">
        <v>27</v>
      </c>
      <c r="B79">
        <v>48</v>
      </c>
      <c r="D79">
        <v>5.4</v>
      </c>
      <c r="E79">
        <v>12</v>
      </c>
      <c r="F79">
        <v>7775</v>
      </c>
      <c r="G79" s="1">
        <v>102630</v>
      </c>
      <c r="H79" s="29">
        <f t="shared" si="25"/>
        <v>0.65</v>
      </c>
      <c r="I79" t="s">
        <v>140</v>
      </c>
      <c r="J79" t="s">
        <v>140</v>
      </c>
      <c r="K79" t="str">
        <f t="shared" si="26"/>
        <v>Ja</v>
      </c>
      <c r="L79">
        <f t="shared" si="27"/>
        <v>10.8</v>
      </c>
      <c r="M79" s="27">
        <f t="shared" si="28"/>
        <v>84.240000000000023</v>
      </c>
      <c r="N79" s="27">
        <f t="shared" si="29"/>
        <v>312.39362700000009</v>
      </c>
      <c r="O79" s="27">
        <f t="shared" si="30"/>
        <v>18.762380000000007</v>
      </c>
      <c r="P79" s="27">
        <f t="shared" si="24"/>
        <v>520.65604500000018</v>
      </c>
      <c r="Q79" s="27">
        <f t="shared" si="31"/>
        <v>4.1652483600000014</v>
      </c>
      <c r="R79" s="40">
        <f t="shared" si="32"/>
        <v>2.0826241800000007</v>
      </c>
      <c r="S79" s="40">
        <f t="shared" si="32"/>
        <v>1.0413120900000004</v>
      </c>
      <c r="T79" s="40">
        <f t="shared" si="32"/>
        <v>0.52065604500000018</v>
      </c>
      <c r="U79" s="40">
        <f t="shared" si="32"/>
        <v>0.26032802250000009</v>
      </c>
      <c r="V79" s="27">
        <f t="shared" si="33"/>
        <v>10.465199999999999</v>
      </c>
      <c r="W79" s="3">
        <f t="shared" si="34"/>
        <v>7.8488999999999995</v>
      </c>
      <c r="X79" s="23">
        <f t="shared" si="35"/>
        <v>0.53067924932156119</v>
      </c>
      <c r="Y79" s="3"/>
      <c r="Z79" s="3" t="str">
        <f t="shared" si="36"/>
        <v>Batteri</v>
      </c>
      <c r="AA79" s="3">
        <f t="shared" si="37"/>
        <v>247360.76057549994</v>
      </c>
      <c r="AB79" s="3">
        <f t="shared" si="23"/>
        <v>14856.502136666664</v>
      </c>
      <c r="AC79" s="3">
        <f t="shared" si="38"/>
        <v>40.702745579908672</v>
      </c>
      <c r="AD79" t="s">
        <v>353</v>
      </c>
      <c r="AE79" s="8" t="s">
        <v>261</v>
      </c>
      <c r="AF79" t="s">
        <v>354</v>
      </c>
      <c r="AG79" t="s">
        <v>215</v>
      </c>
      <c r="AH79" t="s">
        <v>388</v>
      </c>
      <c r="AI79" s="9">
        <v>44926</v>
      </c>
      <c r="AJ79" s="9">
        <v>45657</v>
      </c>
      <c r="AK79" t="s">
        <v>355</v>
      </c>
      <c r="AL79" s="3">
        <f t="shared" si="39"/>
        <v>66709.5</v>
      </c>
    </row>
    <row r="80" spans="1:38" x14ac:dyDescent="0.3">
      <c r="A80" s="10" t="s">
        <v>23</v>
      </c>
      <c r="B80" s="14">
        <v>48</v>
      </c>
      <c r="C80" s="14">
        <v>20</v>
      </c>
      <c r="D80">
        <v>5</v>
      </c>
      <c r="E80">
        <v>12</v>
      </c>
      <c r="F80">
        <v>25470</v>
      </c>
      <c r="G80" s="1">
        <v>336204</v>
      </c>
      <c r="H80" s="29">
        <f t="shared" si="25"/>
        <v>0.65</v>
      </c>
      <c r="I80" t="s">
        <v>173</v>
      </c>
      <c r="J80" t="s">
        <v>175</v>
      </c>
      <c r="K80" t="str">
        <f t="shared" si="26"/>
        <v>Nei</v>
      </c>
      <c r="L80">
        <f t="shared" si="27"/>
        <v>5</v>
      </c>
      <c r="M80" s="27">
        <f t="shared" si="28"/>
        <v>39</v>
      </c>
      <c r="N80" s="27">
        <f t="shared" si="29"/>
        <v>144.62667916666666</v>
      </c>
      <c r="O80" s="27">
        <f t="shared" si="30"/>
        <v>8.6862870370370366</v>
      </c>
      <c r="P80" s="27">
        <f t="shared" si="24"/>
        <v>241.04446527777779</v>
      </c>
      <c r="Q80" s="27">
        <f t="shared" si="31"/>
        <v>1.9283557222222223</v>
      </c>
      <c r="R80" s="40">
        <f t="shared" si="32"/>
        <v>0.96417786111111115</v>
      </c>
      <c r="S80" s="40">
        <f t="shared" si="32"/>
        <v>0.48208893055555557</v>
      </c>
      <c r="T80" s="40">
        <f t="shared" si="32"/>
        <v>0.24104446527777779</v>
      </c>
      <c r="U80" s="40">
        <f t="shared" si="32"/>
        <v>0.12052223263888889</v>
      </c>
      <c r="V80" s="27">
        <f t="shared" si="33"/>
        <v>10.465199999999999</v>
      </c>
      <c r="W80" s="3">
        <f t="shared" si="34"/>
        <v>7.8488999999999995</v>
      </c>
      <c r="X80" s="23">
        <f t="shared" si="35"/>
        <v>0.24568483764887084</v>
      </c>
      <c r="Y80" s="3"/>
      <c r="Z80" s="3" t="str">
        <f t="shared" si="36"/>
        <v>Batteri</v>
      </c>
      <c r="AA80" s="3">
        <f t="shared" si="37"/>
        <v>810325.21824539988</v>
      </c>
      <c r="AB80" s="3">
        <f t="shared" si="23"/>
        <v>48668.181275999996</v>
      </c>
      <c r="AC80" s="3">
        <f t="shared" si="38"/>
        <v>133.3374829479452</v>
      </c>
      <c r="AD80" t="s">
        <v>174</v>
      </c>
      <c r="AE80" s="8" t="s">
        <v>356</v>
      </c>
      <c r="AF80" t="s">
        <v>357</v>
      </c>
      <c r="AG80" t="s">
        <v>215</v>
      </c>
      <c r="AH80" t="s">
        <v>15</v>
      </c>
      <c r="AI80" s="9">
        <v>43861</v>
      </c>
      <c r="AJ80" s="9">
        <v>44926</v>
      </c>
      <c r="AL80" s="3">
        <f t="shared" si="39"/>
        <v>218532.6</v>
      </c>
    </row>
    <row r="81" spans="1:38" x14ac:dyDescent="0.3">
      <c r="A81" s="10" t="s">
        <v>24</v>
      </c>
      <c r="B81">
        <v>62</v>
      </c>
      <c r="C81">
        <v>29</v>
      </c>
      <c r="D81">
        <v>5</v>
      </c>
      <c r="E81">
        <v>12</v>
      </c>
      <c r="F81">
        <v>25500</v>
      </c>
      <c r="G81" s="1">
        <v>336600</v>
      </c>
      <c r="H81" s="29">
        <f t="shared" si="25"/>
        <v>0.65</v>
      </c>
      <c r="I81" t="s">
        <v>127</v>
      </c>
      <c r="J81" t="s">
        <v>177</v>
      </c>
      <c r="K81" t="str">
        <f t="shared" si="26"/>
        <v>Nei</v>
      </c>
      <c r="L81">
        <f t="shared" si="27"/>
        <v>5</v>
      </c>
      <c r="M81" s="27">
        <f t="shared" si="28"/>
        <v>39</v>
      </c>
      <c r="N81" s="27">
        <f t="shared" si="29"/>
        <v>144.62667916666666</v>
      </c>
      <c r="O81" s="27">
        <f t="shared" si="30"/>
        <v>8.6862870370370366</v>
      </c>
      <c r="P81" s="27">
        <f t="shared" si="24"/>
        <v>241.04446527777779</v>
      </c>
      <c r="Q81" s="27">
        <f t="shared" si="31"/>
        <v>1.9283557222222223</v>
      </c>
      <c r="R81" s="40">
        <f t="shared" si="32"/>
        <v>0.96417786111111115</v>
      </c>
      <c r="S81" s="40">
        <f t="shared" si="32"/>
        <v>0.48208893055555557</v>
      </c>
      <c r="T81" s="40">
        <f t="shared" si="32"/>
        <v>0.24104446527777779</v>
      </c>
      <c r="U81" s="40">
        <f t="shared" si="32"/>
        <v>0.12052223263888889</v>
      </c>
      <c r="V81" s="27">
        <f t="shared" si="33"/>
        <v>11.798</v>
      </c>
      <c r="W81" s="3">
        <f t="shared" si="34"/>
        <v>8.8484999999999996</v>
      </c>
      <c r="X81" s="23">
        <f t="shared" si="35"/>
        <v>0.21793023927470445</v>
      </c>
      <c r="Y81" s="3"/>
      <c r="Z81" s="3" t="str">
        <f t="shared" si="36"/>
        <v>Batteri</v>
      </c>
      <c r="AA81" s="3">
        <f t="shared" si="37"/>
        <v>811279.66490999993</v>
      </c>
      <c r="AB81" s="3">
        <f t="shared" si="23"/>
        <v>48725.505400000002</v>
      </c>
      <c r="AC81" s="3">
        <f t="shared" si="38"/>
        <v>133.49453534246575</v>
      </c>
      <c r="AD81" t="s">
        <v>176</v>
      </c>
      <c r="AE81" s="8" t="s">
        <v>264</v>
      </c>
      <c r="AG81" t="s">
        <v>215</v>
      </c>
      <c r="AH81" t="s">
        <v>11</v>
      </c>
      <c r="AI81" s="9">
        <v>44561</v>
      </c>
      <c r="AJ81" s="9">
        <v>45291</v>
      </c>
      <c r="AL81" s="3">
        <f t="shared" si="39"/>
        <v>218790</v>
      </c>
    </row>
    <row r="82" spans="1:38" x14ac:dyDescent="0.3">
      <c r="A82" s="10" t="s">
        <v>25</v>
      </c>
      <c r="B82">
        <v>84</v>
      </c>
      <c r="C82">
        <v>25</v>
      </c>
      <c r="D82">
        <v>5</v>
      </c>
      <c r="E82">
        <v>18</v>
      </c>
      <c r="F82">
        <v>30600</v>
      </c>
      <c r="G82" s="1">
        <v>605880</v>
      </c>
      <c r="H82" s="29">
        <f t="shared" si="25"/>
        <v>0.65</v>
      </c>
      <c r="I82" t="s">
        <v>178</v>
      </c>
      <c r="J82" t="s">
        <v>178</v>
      </c>
      <c r="K82" t="str">
        <f t="shared" si="26"/>
        <v>Ja</v>
      </c>
      <c r="L82">
        <f t="shared" si="27"/>
        <v>10</v>
      </c>
      <c r="M82" s="27">
        <f t="shared" si="28"/>
        <v>117</v>
      </c>
      <c r="N82" s="27">
        <f t="shared" si="29"/>
        <v>433.88003750000001</v>
      </c>
      <c r="O82" s="27">
        <f t="shared" si="30"/>
        <v>26.058861111111113</v>
      </c>
      <c r="P82" s="27">
        <f t="shared" si="24"/>
        <v>723.13339583333334</v>
      </c>
      <c r="Q82" s="27">
        <f t="shared" si="31"/>
        <v>5.7850671666666669</v>
      </c>
      <c r="R82" s="40">
        <f t="shared" si="32"/>
        <v>2.8925335833333334</v>
      </c>
      <c r="S82" s="40">
        <f t="shared" si="32"/>
        <v>1.4462667916666667</v>
      </c>
      <c r="T82" s="40">
        <f t="shared" si="32"/>
        <v>0.72313339583333336</v>
      </c>
      <c r="U82" s="40">
        <f t="shared" si="32"/>
        <v>0.36156669791666668</v>
      </c>
      <c r="V82" s="27">
        <f t="shared" si="33"/>
        <v>13.8924</v>
      </c>
      <c r="W82" s="3">
        <f t="shared" si="34"/>
        <v>10.4193</v>
      </c>
      <c r="X82" s="23">
        <f t="shared" si="35"/>
        <v>0.55522608684524555</v>
      </c>
      <c r="Y82" s="3"/>
      <c r="Z82" s="3" t="str">
        <f t="shared" si="36"/>
        <v>Batteri</v>
      </c>
      <c r="AA82" s="3">
        <f t="shared" si="37"/>
        <v>1460303.3968379998</v>
      </c>
      <c r="AB82" s="3">
        <f t="shared" si="23"/>
        <v>87705.909719999996</v>
      </c>
      <c r="AC82" s="3">
        <f t="shared" si="38"/>
        <v>240.29016361643835</v>
      </c>
      <c r="AD82" t="s">
        <v>358</v>
      </c>
      <c r="AE82" s="8" t="s">
        <v>264</v>
      </c>
      <c r="AG82" t="s">
        <v>215</v>
      </c>
      <c r="AH82" t="s">
        <v>11</v>
      </c>
      <c r="AI82" s="9">
        <v>47299</v>
      </c>
      <c r="AJ82" s="9">
        <v>48213</v>
      </c>
      <c r="AK82" t="s">
        <v>355</v>
      </c>
      <c r="AL82" s="3">
        <f t="shared" si="39"/>
        <v>393822</v>
      </c>
    </row>
    <row r="83" spans="1:38" x14ac:dyDescent="0.3">
      <c r="A83" s="10" t="s">
        <v>26</v>
      </c>
      <c r="B83">
        <v>40</v>
      </c>
      <c r="D83">
        <v>5</v>
      </c>
      <c r="E83">
        <v>20</v>
      </c>
      <c r="F83">
        <v>17850</v>
      </c>
      <c r="G83" s="1">
        <v>392700</v>
      </c>
      <c r="H83" s="29">
        <f t="shared" si="25"/>
        <v>0.65</v>
      </c>
      <c r="I83" t="s">
        <v>178</v>
      </c>
      <c r="J83" t="s">
        <v>178</v>
      </c>
      <c r="K83" t="str">
        <f t="shared" si="26"/>
        <v>Ja</v>
      </c>
      <c r="L83">
        <f t="shared" si="27"/>
        <v>10</v>
      </c>
      <c r="M83" s="27">
        <f t="shared" si="28"/>
        <v>130</v>
      </c>
      <c r="N83" s="27">
        <f t="shared" si="29"/>
        <v>482.08893055555558</v>
      </c>
      <c r="O83" s="27">
        <f t="shared" si="30"/>
        <v>28.954290123456794</v>
      </c>
      <c r="P83" s="27">
        <f t="shared" si="24"/>
        <v>803.48155092592594</v>
      </c>
      <c r="Q83" s="27">
        <f t="shared" si="31"/>
        <v>6.4278524074074079</v>
      </c>
      <c r="R83" s="40">
        <f t="shared" si="32"/>
        <v>3.213926203703704</v>
      </c>
      <c r="S83" s="40">
        <f t="shared" si="32"/>
        <v>1.606963101851852</v>
      </c>
      <c r="T83" s="40">
        <f t="shared" si="32"/>
        <v>0.80348155092592599</v>
      </c>
      <c r="U83" s="40">
        <f t="shared" si="32"/>
        <v>0.401740775462963</v>
      </c>
      <c r="V83" s="27">
        <f t="shared" si="33"/>
        <v>9.7035999999999998</v>
      </c>
      <c r="W83" s="3">
        <f t="shared" si="34"/>
        <v>7.2776999999999994</v>
      </c>
      <c r="X83" s="23">
        <f t="shared" si="35"/>
        <v>0.88322580037751053</v>
      </c>
      <c r="Y83" s="3"/>
      <c r="Z83" s="3" t="str">
        <f t="shared" si="36"/>
        <v>Batteri</v>
      </c>
      <c r="AA83" s="3">
        <f t="shared" si="37"/>
        <v>946492.9423949999</v>
      </c>
      <c r="AB83" s="3">
        <f t="shared" si="23"/>
        <v>56846.422966666665</v>
      </c>
      <c r="AC83" s="3">
        <f t="shared" si="38"/>
        <v>155.74362456621003</v>
      </c>
      <c r="AD83" t="s">
        <v>358</v>
      </c>
      <c r="AE83" s="8" t="s">
        <v>264</v>
      </c>
      <c r="AG83" t="s">
        <v>215</v>
      </c>
      <c r="AH83" t="s">
        <v>11</v>
      </c>
      <c r="AI83" s="9">
        <v>47299</v>
      </c>
      <c r="AJ83" s="9">
        <v>48213</v>
      </c>
      <c r="AK83" t="s">
        <v>355</v>
      </c>
      <c r="AL83" s="3">
        <f t="shared" si="39"/>
        <v>255255</v>
      </c>
    </row>
    <row r="84" spans="1:38" x14ac:dyDescent="0.3">
      <c r="A84" s="10" t="s">
        <v>18</v>
      </c>
      <c r="B84">
        <v>48</v>
      </c>
      <c r="C84">
        <v>17</v>
      </c>
      <c r="D84">
        <v>4</v>
      </c>
      <c r="E84">
        <v>10</v>
      </c>
      <c r="F84">
        <v>8568</v>
      </c>
      <c r="G84" s="1">
        <v>94248</v>
      </c>
      <c r="H84" s="29">
        <f>H6</f>
        <v>0.9</v>
      </c>
      <c r="I84" t="s">
        <v>179</v>
      </c>
      <c r="J84" t="s">
        <v>180</v>
      </c>
      <c r="K84" t="str">
        <f t="shared" si="26"/>
        <v>Nei</v>
      </c>
      <c r="L84">
        <f t="shared" si="27"/>
        <v>4</v>
      </c>
      <c r="M84" s="27">
        <f t="shared" si="28"/>
        <v>36</v>
      </c>
      <c r="N84" s="27">
        <f t="shared" si="29"/>
        <v>133.50155000000001</v>
      </c>
      <c r="O84" s="27">
        <f t="shared" si="30"/>
        <v>8.0181111111111125</v>
      </c>
      <c r="P84" s="27">
        <f t="shared" si="24"/>
        <v>222.50258333333335</v>
      </c>
      <c r="Q84" s="27">
        <f t="shared" si="31"/>
        <v>1.7800206666666667</v>
      </c>
      <c r="R84" s="40">
        <f t="shared" si="32"/>
        <v>0.89001033333333335</v>
      </c>
      <c r="S84" s="40">
        <f t="shared" si="32"/>
        <v>0.44500516666666667</v>
      </c>
      <c r="T84" s="40">
        <f t="shared" si="32"/>
        <v>0.22250258333333334</v>
      </c>
      <c r="U84" s="40">
        <f t="shared" si="32"/>
        <v>0.11125129166666667</v>
      </c>
      <c r="V84" s="27">
        <f t="shared" si="33"/>
        <v>10.465199999999999</v>
      </c>
      <c r="W84" s="3">
        <f t="shared" si="34"/>
        <v>7.8488999999999995</v>
      </c>
      <c r="X84" s="23">
        <f t="shared" si="35"/>
        <v>0.2267860039835731</v>
      </c>
      <c r="Y84" s="3"/>
      <c r="Z84" s="3" t="str">
        <f t="shared" si="36"/>
        <v>Batteri</v>
      </c>
      <c r="AA84" s="3">
        <f t="shared" si="37"/>
        <v>314526.88547279994</v>
      </c>
      <c r="AB84" s="3">
        <f t="shared" si="23"/>
        <v>18890.503632</v>
      </c>
      <c r="AC84" s="3">
        <f t="shared" si="38"/>
        <v>51.754804471232873</v>
      </c>
      <c r="AD84" t="s">
        <v>359</v>
      </c>
      <c r="AE84" s="8" t="s">
        <v>221</v>
      </c>
      <c r="AF84">
        <v>830</v>
      </c>
      <c r="AG84" t="s">
        <v>215</v>
      </c>
      <c r="AH84" t="s">
        <v>19</v>
      </c>
      <c r="AI84" s="9">
        <v>44561</v>
      </c>
      <c r="AJ84" s="9">
        <v>45291</v>
      </c>
      <c r="AL84" s="3">
        <f t="shared" si="39"/>
        <v>84823.2</v>
      </c>
    </row>
    <row r="85" spans="1:38" x14ac:dyDescent="0.3">
      <c r="A85" s="10" t="s">
        <v>20</v>
      </c>
      <c r="B85">
        <v>48</v>
      </c>
      <c r="C85">
        <v>17</v>
      </c>
      <c r="D85">
        <v>4</v>
      </c>
      <c r="E85">
        <v>10</v>
      </c>
      <c r="F85">
        <v>9792</v>
      </c>
      <c r="G85" s="1">
        <v>107712</v>
      </c>
      <c r="H85" s="29">
        <f>H6</f>
        <v>0.9</v>
      </c>
      <c r="I85" t="s">
        <v>179</v>
      </c>
      <c r="J85" t="s">
        <v>179</v>
      </c>
      <c r="K85" t="str">
        <f t="shared" si="26"/>
        <v>Ja</v>
      </c>
      <c r="L85">
        <f t="shared" si="27"/>
        <v>8</v>
      </c>
      <c r="M85" s="27">
        <f t="shared" si="28"/>
        <v>72</v>
      </c>
      <c r="N85" s="27">
        <f t="shared" si="29"/>
        <v>267.00310000000002</v>
      </c>
      <c r="O85" s="27">
        <f t="shared" si="30"/>
        <v>16.036222222222225</v>
      </c>
      <c r="P85" s="27">
        <f t="shared" si="24"/>
        <v>445.0051666666667</v>
      </c>
      <c r="Q85" s="27">
        <f t="shared" si="31"/>
        <v>3.5600413333333334</v>
      </c>
      <c r="R85" s="40">
        <f t="shared" si="32"/>
        <v>1.7800206666666667</v>
      </c>
      <c r="S85" s="40">
        <f t="shared" si="32"/>
        <v>0.89001033333333335</v>
      </c>
      <c r="T85" s="40">
        <f t="shared" si="32"/>
        <v>0.44500516666666667</v>
      </c>
      <c r="U85" s="40">
        <f t="shared" si="32"/>
        <v>0.22250258333333334</v>
      </c>
      <c r="V85" s="27">
        <f t="shared" si="33"/>
        <v>10.465199999999999</v>
      </c>
      <c r="W85" s="3">
        <f t="shared" si="34"/>
        <v>7.8488999999999995</v>
      </c>
      <c r="X85" s="23">
        <f t="shared" si="35"/>
        <v>0.4535720079671462</v>
      </c>
      <c r="Y85" s="3"/>
      <c r="Z85" s="3" t="str">
        <f t="shared" si="36"/>
        <v>Batteri</v>
      </c>
      <c r="AA85" s="3">
        <f t="shared" si="37"/>
        <v>359459.29768319998</v>
      </c>
      <c r="AB85" s="3">
        <f t="shared" si="23"/>
        <v>21589.147008</v>
      </c>
      <c r="AC85" s="3">
        <f t="shared" si="38"/>
        <v>59.148347967123286</v>
      </c>
      <c r="AD85" t="s">
        <v>359</v>
      </c>
      <c r="AE85" s="8" t="s">
        <v>221</v>
      </c>
      <c r="AF85">
        <v>835</v>
      </c>
      <c r="AG85" t="s">
        <v>215</v>
      </c>
      <c r="AH85" t="s">
        <v>19</v>
      </c>
      <c r="AI85" s="9">
        <v>44561</v>
      </c>
      <c r="AJ85" s="9">
        <v>45291</v>
      </c>
      <c r="AK85" t="s">
        <v>355</v>
      </c>
      <c r="AL85" s="3">
        <f t="shared" si="39"/>
        <v>96940.800000000003</v>
      </c>
    </row>
    <row r="86" spans="1:38" x14ac:dyDescent="0.3">
      <c r="A86" s="10" t="s">
        <v>21</v>
      </c>
      <c r="B86">
        <v>19</v>
      </c>
      <c r="C86">
        <v>24</v>
      </c>
      <c r="D86">
        <v>4</v>
      </c>
      <c r="E86">
        <v>13</v>
      </c>
      <c r="F86">
        <v>14385</v>
      </c>
      <c r="G86" s="1">
        <v>205706</v>
      </c>
      <c r="H86" s="29">
        <f t="shared" si="25"/>
        <v>0.65</v>
      </c>
      <c r="I86" t="s">
        <v>181</v>
      </c>
      <c r="J86" t="s">
        <v>181</v>
      </c>
      <c r="K86" t="str">
        <f t="shared" si="26"/>
        <v>Ja</v>
      </c>
      <c r="L86">
        <f t="shared" si="27"/>
        <v>8</v>
      </c>
      <c r="M86" s="27">
        <f t="shared" si="28"/>
        <v>67.600000000000009</v>
      </c>
      <c r="N86" s="27">
        <f t="shared" si="29"/>
        <v>250.68624388888895</v>
      </c>
      <c r="O86" s="27">
        <f t="shared" si="30"/>
        <v>15.056230864197536</v>
      </c>
      <c r="P86" s="27">
        <f t="shared" si="24"/>
        <v>417.81040648148161</v>
      </c>
      <c r="Q86" s="27">
        <f t="shared" si="31"/>
        <v>3.3424832518518528</v>
      </c>
      <c r="R86" s="40">
        <f t="shared" si="32"/>
        <v>1.6712416259259264</v>
      </c>
      <c r="S86" s="40">
        <f t="shared" si="32"/>
        <v>0.8356208129629632</v>
      </c>
      <c r="T86" s="40">
        <f t="shared" si="32"/>
        <v>0.4178104064814816</v>
      </c>
      <c r="U86" s="40">
        <f t="shared" si="32"/>
        <v>0.2089052032407408</v>
      </c>
      <c r="V86" s="27">
        <f t="shared" si="33"/>
        <v>7.7043999999999997</v>
      </c>
      <c r="W86" s="3">
        <f t="shared" si="34"/>
        <v>5.7782999999999998</v>
      </c>
      <c r="X86" s="23">
        <f t="shared" si="35"/>
        <v>0.57845443328519686</v>
      </c>
      <c r="Y86" s="3"/>
      <c r="Z86" s="3" t="str">
        <f t="shared" si="36"/>
        <v>Batteri</v>
      </c>
      <c r="AA86" s="3">
        <f t="shared" si="37"/>
        <v>495796.47875809995</v>
      </c>
      <c r="AB86" s="3">
        <f t="shared" si="23"/>
        <v>29777.566291777777</v>
      </c>
      <c r="AC86" s="3">
        <f t="shared" si="38"/>
        <v>81.582373402130898</v>
      </c>
      <c r="AD86" t="s">
        <v>360</v>
      </c>
      <c r="AE86" s="8" t="s">
        <v>261</v>
      </c>
      <c r="AF86" t="s">
        <v>361</v>
      </c>
      <c r="AG86" t="s">
        <v>215</v>
      </c>
      <c r="AH86" t="s">
        <v>388</v>
      </c>
      <c r="AI86" s="9">
        <v>44926</v>
      </c>
      <c r="AJ86" s="9">
        <v>45657</v>
      </c>
      <c r="AK86" t="s">
        <v>337</v>
      </c>
      <c r="AL86" s="3">
        <f t="shared" si="39"/>
        <v>133708.9</v>
      </c>
    </row>
    <row r="87" spans="1:38" x14ac:dyDescent="0.3">
      <c r="A87" s="10" t="s">
        <v>22</v>
      </c>
      <c r="B87">
        <v>47</v>
      </c>
      <c r="C87">
        <v>24</v>
      </c>
      <c r="D87">
        <v>4</v>
      </c>
      <c r="E87">
        <v>12</v>
      </c>
      <c r="F87">
        <v>9989</v>
      </c>
      <c r="G87" s="1">
        <v>131855</v>
      </c>
      <c r="H87" s="29">
        <f t="shared" si="25"/>
        <v>0.65</v>
      </c>
      <c r="I87" t="s">
        <v>182</v>
      </c>
      <c r="J87" t="s">
        <v>183</v>
      </c>
      <c r="K87" t="str">
        <f t="shared" si="26"/>
        <v>Nei</v>
      </c>
      <c r="L87">
        <f t="shared" si="27"/>
        <v>4</v>
      </c>
      <c r="M87" s="27">
        <f t="shared" si="28"/>
        <v>31.200000000000003</v>
      </c>
      <c r="N87" s="27">
        <f t="shared" si="29"/>
        <v>115.70134333333334</v>
      </c>
      <c r="O87" s="27">
        <f t="shared" si="30"/>
        <v>6.9490296296296306</v>
      </c>
      <c r="P87" s="27">
        <f t="shared" si="24"/>
        <v>192.83557222222225</v>
      </c>
      <c r="Q87" s="27">
        <f t="shared" si="31"/>
        <v>1.542684577777778</v>
      </c>
      <c r="R87" s="40">
        <f t="shared" si="32"/>
        <v>0.771342288888889</v>
      </c>
      <c r="S87" s="40">
        <f t="shared" si="32"/>
        <v>0.3856711444444445</v>
      </c>
      <c r="T87" s="40">
        <f t="shared" si="32"/>
        <v>0.19283557222222225</v>
      </c>
      <c r="U87" s="40">
        <f t="shared" si="32"/>
        <v>9.6417786111111126E-2</v>
      </c>
      <c r="V87" s="27">
        <f t="shared" si="33"/>
        <v>10.370000000000001</v>
      </c>
      <c r="W87" s="3">
        <f t="shared" si="34"/>
        <v>7.7775000000000007</v>
      </c>
      <c r="X87" s="23">
        <f t="shared" si="35"/>
        <v>0.1983522440087146</v>
      </c>
      <c r="Y87" s="3"/>
      <c r="Z87" s="3" t="str">
        <f t="shared" si="36"/>
        <v>Batteri</v>
      </c>
      <c r="AA87" s="3">
        <f t="shared" si="37"/>
        <v>317799.40646674996</v>
      </c>
      <c r="AB87" s="3">
        <f t="shared" si="23"/>
        <v>19087.051439444444</v>
      </c>
      <c r="AC87" s="3">
        <f t="shared" si="38"/>
        <v>52.293291614916285</v>
      </c>
      <c r="AD87" t="s">
        <v>22</v>
      </c>
      <c r="AE87" t="s">
        <v>362</v>
      </c>
      <c r="AF87">
        <v>2071</v>
      </c>
      <c r="AG87" t="s">
        <v>215</v>
      </c>
      <c r="AH87" t="s">
        <v>388</v>
      </c>
      <c r="AI87" s="9">
        <v>45291</v>
      </c>
      <c r="AJ87" s="9">
        <v>46752</v>
      </c>
      <c r="AL87" s="3">
        <f t="shared" si="39"/>
        <v>85705.75</v>
      </c>
    </row>
    <row r="88" spans="1:38" x14ac:dyDescent="0.3">
      <c r="A88" s="13" t="s">
        <v>14</v>
      </c>
      <c r="B88">
        <v>31</v>
      </c>
      <c r="C88">
        <v>19</v>
      </c>
      <c r="D88">
        <v>3</v>
      </c>
      <c r="E88">
        <v>8</v>
      </c>
      <c r="F88">
        <v>15898</v>
      </c>
      <c r="G88" s="1">
        <v>139902</v>
      </c>
      <c r="H88" s="29">
        <f t="shared" si="25"/>
        <v>0.65</v>
      </c>
      <c r="I88" t="s">
        <v>184</v>
      </c>
      <c r="J88" t="s">
        <v>185</v>
      </c>
      <c r="K88" t="str">
        <f t="shared" si="26"/>
        <v>Nei</v>
      </c>
      <c r="L88">
        <f t="shared" si="27"/>
        <v>3</v>
      </c>
      <c r="M88" s="27">
        <f t="shared" si="28"/>
        <v>15.600000000000001</v>
      </c>
      <c r="N88" s="27">
        <f t="shared" si="29"/>
        <v>57.85067166666667</v>
      </c>
      <c r="O88" s="27">
        <f t="shared" si="30"/>
        <v>3.4745148148148153</v>
      </c>
      <c r="P88" s="27">
        <f t="shared" si="24"/>
        <v>96.417786111111127</v>
      </c>
      <c r="Q88" s="27">
        <f t="shared" si="31"/>
        <v>0.771342288888889</v>
      </c>
      <c r="R88" s="40">
        <f t="shared" si="32"/>
        <v>0.3856711444444445</v>
      </c>
      <c r="S88" s="40">
        <f t="shared" si="32"/>
        <v>0.19283557222222225</v>
      </c>
      <c r="T88" s="40">
        <f t="shared" si="32"/>
        <v>9.6417786111111126E-2</v>
      </c>
      <c r="U88" s="40">
        <f t="shared" si="32"/>
        <v>4.8208893055555563E-2</v>
      </c>
      <c r="V88" s="27">
        <f t="shared" si="33"/>
        <v>8.8468</v>
      </c>
      <c r="W88" s="3" t="str">
        <f t="shared" si="34"/>
        <v>n/a</v>
      </c>
      <c r="X88" s="23" t="str">
        <f t="shared" si="35"/>
        <v/>
      </c>
      <c r="Y88" s="3" t="s">
        <v>380</v>
      </c>
      <c r="Z88" s="3" t="str">
        <f t="shared" si="36"/>
        <v>n/a</v>
      </c>
      <c r="AA88" s="3">
        <f t="shared" si="37"/>
        <v>337194.43755269999</v>
      </c>
      <c r="AB88" s="3">
        <f t="shared" si="23"/>
        <v>20251.918171333335</v>
      </c>
      <c r="AC88" s="3">
        <f t="shared" ref="AC88:AC98" si="40">AB88/365</f>
        <v>55.484707318721462</v>
      </c>
      <c r="AD88" t="s">
        <v>363</v>
      </c>
      <c r="AH88" t="s">
        <v>15</v>
      </c>
      <c r="AI88" s="9">
        <v>43466</v>
      </c>
      <c r="AK88" t="s">
        <v>364</v>
      </c>
      <c r="AL88" s="3">
        <f t="shared" si="39"/>
        <v>90936.3</v>
      </c>
    </row>
    <row r="89" spans="1:38" x14ac:dyDescent="0.3">
      <c r="A89" s="10" t="s">
        <v>16</v>
      </c>
      <c r="B89">
        <v>180</v>
      </c>
      <c r="C89">
        <v>35</v>
      </c>
      <c r="D89">
        <v>3</v>
      </c>
      <c r="E89">
        <v>30</v>
      </c>
      <c r="F89">
        <v>35907</v>
      </c>
      <c r="G89" s="1">
        <v>1184931</v>
      </c>
      <c r="H89" s="29">
        <f t="shared" si="25"/>
        <v>0.65</v>
      </c>
      <c r="I89" t="s">
        <v>186</v>
      </c>
      <c r="J89" t="s">
        <v>187</v>
      </c>
      <c r="K89" t="str">
        <f t="shared" si="26"/>
        <v>Nei</v>
      </c>
      <c r="L89">
        <f t="shared" si="27"/>
        <v>3</v>
      </c>
      <c r="M89" s="27">
        <f t="shared" si="28"/>
        <v>58.5</v>
      </c>
      <c r="N89" s="27">
        <f t="shared" si="29"/>
        <v>216.94001875000001</v>
      </c>
      <c r="O89" s="27">
        <f t="shared" si="30"/>
        <v>13.029430555555557</v>
      </c>
      <c r="P89" s="27">
        <f t="shared" si="24"/>
        <v>361.56669791666667</v>
      </c>
      <c r="Q89" s="27">
        <f t="shared" si="31"/>
        <v>2.8925335833333334</v>
      </c>
      <c r="R89" s="40">
        <f t="shared" si="32"/>
        <v>1.4462667916666667</v>
      </c>
      <c r="S89" s="40">
        <f t="shared" si="32"/>
        <v>0.72313339583333336</v>
      </c>
      <c r="T89" s="40">
        <f t="shared" si="32"/>
        <v>0.36156669791666668</v>
      </c>
      <c r="U89" s="40">
        <f t="shared" si="32"/>
        <v>0.18078334895833334</v>
      </c>
      <c r="V89" s="27">
        <f t="shared" si="33"/>
        <v>23.031600000000005</v>
      </c>
      <c r="W89" s="3">
        <f t="shared" si="34"/>
        <v>17.273700000000005</v>
      </c>
      <c r="X89" s="23">
        <f t="shared" si="35"/>
        <v>0.16745304036386718</v>
      </c>
      <c r="Y89" s="3"/>
      <c r="Z89" s="3" t="str">
        <f t="shared" si="36"/>
        <v>Batteri</v>
      </c>
      <c r="AA89" s="3">
        <f t="shared" si="37"/>
        <v>2855943.0321493503</v>
      </c>
      <c r="AB89" s="3">
        <f t="shared" si="23"/>
        <v>171528.11003900002</v>
      </c>
      <c r="AC89" s="3">
        <f t="shared" si="40"/>
        <v>469.94002750410965</v>
      </c>
      <c r="AD89" t="s">
        <v>16</v>
      </c>
      <c r="AE89" s="8" t="s">
        <v>224</v>
      </c>
      <c r="AF89">
        <v>2070</v>
      </c>
      <c r="AG89" t="s">
        <v>215</v>
      </c>
      <c r="AH89" t="s">
        <v>388</v>
      </c>
      <c r="AI89" s="9">
        <v>44561</v>
      </c>
      <c r="AJ89" s="9">
        <v>44926</v>
      </c>
      <c r="AL89" s="3">
        <f t="shared" si="39"/>
        <v>770205.15</v>
      </c>
    </row>
    <row r="90" spans="1:38" hidden="1" x14ac:dyDescent="0.3">
      <c r="A90" s="6" t="s">
        <v>17</v>
      </c>
      <c r="D90">
        <v>3</v>
      </c>
      <c r="G90" s="1">
        <v>1439872</v>
      </c>
      <c r="H90" s="29">
        <v>1</v>
      </c>
      <c r="I90" t="s">
        <v>188</v>
      </c>
      <c r="J90" t="s">
        <v>189</v>
      </c>
      <c r="K90" t="str">
        <f t="shared" si="26"/>
        <v>Nei</v>
      </c>
      <c r="L90">
        <f t="shared" si="27"/>
        <v>3</v>
      </c>
      <c r="M90" s="7">
        <f t="shared" si="28"/>
        <v>0</v>
      </c>
      <c r="N90" s="7">
        <f t="shared" si="29"/>
        <v>0</v>
      </c>
      <c r="O90" s="7">
        <f t="shared" si="30"/>
        <v>0</v>
      </c>
      <c r="P90" s="7">
        <f t="shared" si="24"/>
        <v>0</v>
      </c>
      <c r="Q90" s="7">
        <f t="shared" si="31"/>
        <v>0</v>
      </c>
      <c r="R90" s="32">
        <f t="shared" si="32"/>
        <v>0</v>
      </c>
      <c r="S90" s="32">
        <f t="shared" si="32"/>
        <v>0</v>
      </c>
      <c r="T90" s="32">
        <f t="shared" si="32"/>
        <v>0</v>
      </c>
      <c r="U90" s="32">
        <f t="shared" si="32"/>
        <v>0</v>
      </c>
      <c r="V90" s="27">
        <f t="shared" si="33"/>
        <v>5.8956</v>
      </c>
      <c r="W90" s="3" t="str">
        <f t="shared" si="34"/>
        <v>n/a</v>
      </c>
      <c r="X90" s="23" t="str">
        <f t="shared" si="35"/>
        <v/>
      </c>
      <c r="Y90" s="3" t="s">
        <v>380</v>
      </c>
      <c r="Z90" s="3" t="str">
        <f t="shared" si="36"/>
        <v>n/a</v>
      </c>
      <c r="AA90" s="3">
        <f t="shared" si="37"/>
        <v>5339087.1322879996</v>
      </c>
      <c r="AB90" s="3">
        <f t="shared" si="23"/>
        <v>320665.89383111114</v>
      </c>
      <c r="AC90" s="3">
        <f t="shared" si="40"/>
        <v>878.53669542770172</v>
      </c>
      <c r="AD90" t="s">
        <v>365</v>
      </c>
      <c r="AE90" s="8" t="s">
        <v>310</v>
      </c>
      <c r="AF90" t="s">
        <v>366</v>
      </c>
      <c r="AG90" t="s">
        <v>215</v>
      </c>
      <c r="AH90" t="s">
        <v>6</v>
      </c>
      <c r="AI90" s="9">
        <v>45473</v>
      </c>
      <c r="AK90" t="s">
        <v>367</v>
      </c>
      <c r="AL90" s="3">
        <f t="shared" si="39"/>
        <v>1439872</v>
      </c>
    </row>
    <row r="91" spans="1:38" x14ac:dyDescent="0.3">
      <c r="A91" s="13" t="s">
        <v>13</v>
      </c>
      <c r="D91">
        <v>2.4</v>
      </c>
      <c r="E91">
        <v>5</v>
      </c>
      <c r="F91">
        <v>972</v>
      </c>
      <c r="G91" s="1">
        <v>5346</v>
      </c>
      <c r="H91" s="29">
        <f t="shared" si="25"/>
        <v>0.65</v>
      </c>
      <c r="I91" t="s">
        <v>190</v>
      </c>
      <c r="J91" t="s">
        <v>191</v>
      </c>
      <c r="K91" t="str">
        <f t="shared" si="26"/>
        <v>Nei</v>
      </c>
      <c r="L91">
        <f t="shared" si="27"/>
        <v>2.4</v>
      </c>
      <c r="M91" s="27">
        <f t="shared" si="28"/>
        <v>7.8000000000000007</v>
      </c>
      <c r="N91" s="27">
        <f t="shared" si="29"/>
        <v>28.925335833333335</v>
      </c>
      <c r="O91" s="27">
        <f t="shared" si="30"/>
        <v>1.7372574074074076</v>
      </c>
      <c r="P91" s="27">
        <f t="shared" si="24"/>
        <v>48.208893055555563</v>
      </c>
      <c r="Q91" s="27">
        <f t="shared" si="31"/>
        <v>0.3856711444444445</v>
      </c>
      <c r="R91" s="40">
        <f t="shared" si="32"/>
        <v>0.19283557222222225</v>
      </c>
      <c r="S91" s="40">
        <f t="shared" si="32"/>
        <v>9.6417786111111126E-2</v>
      </c>
      <c r="T91" s="40">
        <f t="shared" si="32"/>
        <v>4.8208893055555563E-2</v>
      </c>
      <c r="U91" s="40">
        <f t="shared" si="32"/>
        <v>2.4104446527777781E-2</v>
      </c>
      <c r="V91" s="27">
        <f t="shared" si="33"/>
        <v>5.8956</v>
      </c>
      <c r="W91" s="3" t="str">
        <f t="shared" si="34"/>
        <v>n/a</v>
      </c>
      <c r="X91" s="23" t="str">
        <f t="shared" si="35"/>
        <v/>
      </c>
      <c r="Y91" s="3" t="s">
        <v>380</v>
      </c>
      <c r="Z91" s="3" t="str">
        <f t="shared" si="36"/>
        <v>n/a</v>
      </c>
      <c r="AA91" s="3">
        <f t="shared" si="37"/>
        <v>12885.029972100001</v>
      </c>
      <c r="AB91" s="3">
        <f t="shared" si="23"/>
        <v>773.87567400000012</v>
      </c>
      <c r="AC91" s="3">
        <f t="shared" si="40"/>
        <v>2.1202073260273977</v>
      </c>
      <c r="AD91" t="s">
        <v>368</v>
      </c>
      <c r="AG91" t="s">
        <v>215</v>
      </c>
      <c r="AH91" t="s">
        <v>388</v>
      </c>
      <c r="AI91" s="9">
        <v>44926</v>
      </c>
      <c r="AJ91" s="9">
        <v>45657</v>
      </c>
      <c r="AL91" s="3">
        <f t="shared" si="39"/>
        <v>3474.9</v>
      </c>
    </row>
    <row r="92" spans="1:38" x14ac:dyDescent="0.3">
      <c r="A92" s="10" t="s">
        <v>7</v>
      </c>
      <c r="B92">
        <v>97</v>
      </c>
      <c r="C92">
        <v>27</v>
      </c>
      <c r="D92">
        <v>2</v>
      </c>
      <c r="E92">
        <v>20</v>
      </c>
      <c r="F92">
        <v>22000</v>
      </c>
      <c r="G92" s="1">
        <v>484000</v>
      </c>
      <c r="H92" s="29">
        <f t="shared" si="25"/>
        <v>0.65</v>
      </c>
      <c r="I92" t="s">
        <v>192</v>
      </c>
      <c r="J92" t="s">
        <v>149</v>
      </c>
      <c r="K92" t="str">
        <f t="shared" si="26"/>
        <v>Nei</v>
      </c>
      <c r="L92">
        <f t="shared" si="27"/>
        <v>2</v>
      </c>
      <c r="M92" s="27">
        <f t="shared" si="28"/>
        <v>26</v>
      </c>
      <c r="N92" s="27">
        <f t="shared" si="29"/>
        <v>96.417786111111113</v>
      </c>
      <c r="O92" s="27">
        <f t="shared" si="30"/>
        <v>5.7908580246913584</v>
      </c>
      <c r="P92" s="27">
        <f t="shared" si="24"/>
        <v>160.69631018518518</v>
      </c>
      <c r="Q92" s="27">
        <f t="shared" si="31"/>
        <v>1.2855704814814815</v>
      </c>
      <c r="R92" s="40">
        <f t="shared" si="32"/>
        <v>0.64278524074074073</v>
      </c>
      <c r="S92" s="40">
        <f t="shared" si="32"/>
        <v>0.32139262037037036</v>
      </c>
      <c r="T92" s="40">
        <f t="shared" si="32"/>
        <v>0.16069631018518518</v>
      </c>
      <c r="U92" s="40">
        <f t="shared" si="32"/>
        <v>8.0348155092592591E-2</v>
      </c>
      <c r="V92" s="27">
        <f t="shared" si="33"/>
        <v>15.13</v>
      </c>
      <c r="W92" s="3">
        <f t="shared" si="34"/>
        <v>11.3475</v>
      </c>
      <c r="X92" s="23">
        <f t="shared" si="35"/>
        <v>0.11329107569786133</v>
      </c>
      <c r="Y92" s="3"/>
      <c r="Z92" s="3" t="str">
        <f t="shared" si="36"/>
        <v>Batteri</v>
      </c>
      <c r="AA92" s="3">
        <f t="shared" si="37"/>
        <v>1166545.9234</v>
      </c>
      <c r="AB92" s="3">
        <f t="shared" si="23"/>
        <v>70062.818222222224</v>
      </c>
      <c r="AC92" s="3">
        <f t="shared" si="40"/>
        <v>191.95292663622527</v>
      </c>
      <c r="AD92" t="s">
        <v>252</v>
      </c>
      <c r="AE92" s="8" t="s">
        <v>296</v>
      </c>
      <c r="AF92">
        <v>23</v>
      </c>
      <c r="AG92" t="s">
        <v>215</v>
      </c>
      <c r="AH92" t="s">
        <v>8</v>
      </c>
      <c r="AI92" s="9">
        <v>45657</v>
      </c>
      <c r="AJ92" s="9">
        <v>46387</v>
      </c>
      <c r="AL92" s="3">
        <f t="shared" si="39"/>
        <v>314600</v>
      </c>
    </row>
    <row r="93" spans="1:38" x14ac:dyDescent="0.3">
      <c r="A93" s="10" t="s">
        <v>9</v>
      </c>
      <c r="B93">
        <v>63</v>
      </c>
      <c r="C93">
        <v>20</v>
      </c>
      <c r="D93">
        <v>2</v>
      </c>
      <c r="E93">
        <v>14</v>
      </c>
      <c r="F93">
        <v>8423</v>
      </c>
      <c r="G93" s="1">
        <v>129714</v>
      </c>
      <c r="H93" s="29">
        <f t="shared" si="25"/>
        <v>0.65</v>
      </c>
      <c r="I93" t="s">
        <v>193</v>
      </c>
      <c r="J93" t="s">
        <v>194</v>
      </c>
      <c r="K93" t="str">
        <f t="shared" si="26"/>
        <v>Nei</v>
      </c>
      <c r="L93">
        <f t="shared" si="27"/>
        <v>2</v>
      </c>
      <c r="M93" s="27">
        <f t="shared" si="28"/>
        <v>18.2</v>
      </c>
      <c r="N93" s="27">
        <f t="shared" si="29"/>
        <v>67.492450277777778</v>
      </c>
      <c r="O93" s="27">
        <f t="shared" si="30"/>
        <v>4.0536006172839514</v>
      </c>
      <c r="P93" s="27">
        <f t="shared" si="24"/>
        <v>112.48741712962963</v>
      </c>
      <c r="Q93" s="27">
        <f t="shared" si="31"/>
        <v>0.89989933703703706</v>
      </c>
      <c r="R93" s="40">
        <f t="shared" si="32"/>
        <v>0.44994966851851853</v>
      </c>
      <c r="S93" s="40">
        <f t="shared" si="32"/>
        <v>0.22497483425925927</v>
      </c>
      <c r="T93" s="40">
        <f t="shared" si="32"/>
        <v>0.11248741712962963</v>
      </c>
      <c r="U93" s="40">
        <f t="shared" si="32"/>
        <v>5.6243708564814816E-2</v>
      </c>
      <c r="V93" s="27">
        <f t="shared" si="33"/>
        <v>11.8932</v>
      </c>
      <c r="W93" s="3">
        <f t="shared" si="34"/>
        <v>8.9199000000000002</v>
      </c>
      <c r="X93" s="23">
        <f t="shared" si="35"/>
        <v>0.10088670691790683</v>
      </c>
      <c r="Y93" s="3"/>
      <c r="Z93" s="3" t="str">
        <f t="shared" si="36"/>
        <v>Batteri</v>
      </c>
      <c r="AA93" s="3">
        <f t="shared" si="37"/>
        <v>312639.12790889997</v>
      </c>
      <c r="AB93" s="3">
        <f t="shared" si="23"/>
        <v>18777.124799333335</v>
      </c>
      <c r="AC93" s="3">
        <f t="shared" si="40"/>
        <v>51.444177532420092</v>
      </c>
      <c r="AD93" t="s">
        <v>369</v>
      </c>
      <c r="AE93" t="s">
        <v>362</v>
      </c>
      <c r="AF93">
        <v>2079</v>
      </c>
      <c r="AG93" t="s">
        <v>215</v>
      </c>
      <c r="AH93" t="s">
        <v>388</v>
      </c>
      <c r="AI93" s="9">
        <v>45291</v>
      </c>
      <c r="AJ93" s="9">
        <v>46752</v>
      </c>
      <c r="AL93" s="3">
        <f t="shared" si="39"/>
        <v>84314.1</v>
      </c>
    </row>
    <row r="94" spans="1:38" x14ac:dyDescent="0.3">
      <c r="A94" s="10" t="s">
        <v>10</v>
      </c>
      <c r="B94">
        <v>42</v>
      </c>
      <c r="D94">
        <v>2</v>
      </c>
      <c r="E94">
        <v>18</v>
      </c>
      <c r="F94">
        <v>7140</v>
      </c>
      <c r="G94" s="1">
        <v>141372</v>
      </c>
      <c r="H94" s="29">
        <f t="shared" si="25"/>
        <v>0.65</v>
      </c>
      <c r="I94" t="s">
        <v>178</v>
      </c>
      <c r="J94" t="s">
        <v>178</v>
      </c>
      <c r="K94" t="str">
        <f t="shared" si="26"/>
        <v>Ja</v>
      </c>
      <c r="L94">
        <f t="shared" si="27"/>
        <v>4</v>
      </c>
      <c r="M94" s="27">
        <f t="shared" si="28"/>
        <v>46.800000000000004</v>
      </c>
      <c r="N94" s="27">
        <f t="shared" si="29"/>
        <v>173.55201500000001</v>
      </c>
      <c r="O94" s="27">
        <f t="shared" si="30"/>
        <v>10.423544444444445</v>
      </c>
      <c r="P94" s="27">
        <f t="shared" si="24"/>
        <v>289.25335833333338</v>
      </c>
      <c r="Q94" s="27">
        <f t="shared" si="31"/>
        <v>2.314026866666667</v>
      </c>
      <c r="R94" s="40">
        <f t="shared" si="32"/>
        <v>1.1570134333333335</v>
      </c>
      <c r="S94" s="40">
        <f t="shared" si="32"/>
        <v>0.57850671666666675</v>
      </c>
      <c r="T94" s="40">
        <f t="shared" si="32"/>
        <v>0.28925335833333338</v>
      </c>
      <c r="U94" s="40">
        <f t="shared" si="32"/>
        <v>0.14462667916666669</v>
      </c>
      <c r="V94" s="27">
        <f t="shared" si="33"/>
        <v>9.8940000000000001</v>
      </c>
      <c r="W94" s="3">
        <f t="shared" si="34"/>
        <v>7.4205000000000005</v>
      </c>
      <c r="X94" s="23">
        <f t="shared" si="35"/>
        <v>0.31184244547761836</v>
      </c>
      <c r="Y94" s="3"/>
      <c r="Z94" s="3" t="str">
        <f t="shared" si="36"/>
        <v>Batteri</v>
      </c>
      <c r="AA94" s="3">
        <f t="shared" si="37"/>
        <v>340737.45926219993</v>
      </c>
      <c r="AB94" s="3">
        <f t="shared" si="23"/>
        <v>20464.712267999999</v>
      </c>
      <c r="AC94" s="3">
        <f t="shared" si="40"/>
        <v>56.067704843835614</v>
      </c>
      <c r="AD94" t="s">
        <v>358</v>
      </c>
      <c r="AE94" s="8" t="s">
        <v>264</v>
      </c>
      <c r="AG94" t="s">
        <v>215</v>
      </c>
      <c r="AH94" t="s">
        <v>11</v>
      </c>
      <c r="AI94" s="9">
        <v>47299</v>
      </c>
      <c r="AJ94" s="9">
        <v>48213</v>
      </c>
      <c r="AK94" t="s">
        <v>240</v>
      </c>
      <c r="AL94" s="3">
        <f t="shared" si="39"/>
        <v>91891.8</v>
      </c>
    </row>
    <row r="95" spans="1:38" x14ac:dyDescent="0.3">
      <c r="A95" s="10" t="s">
        <v>12</v>
      </c>
      <c r="B95" s="14">
        <v>250</v>
      </c>
      <c r="C95" s="14">
        <v>33</v>
      </c>
      <c r="D95">
        <v>2</v>
      </c>
      <c r="E95" s="28">
        <v>20</v>
      </c>
      <c r="G95" s="1">
        <v>318787</v>
      </c>
      <c r="H95" s="29">
        <f>H6</f>
        <v>0.9</v>
      </c>
      <c r="I95" t="s">
        <v>6</v>
      </c>
      <c r="J95" t="s">
        <v>6</v>
      </c>
      <c r="K95" t="str">
        <f t="shared" si="26"/>
        <v>Ja</v>
      </c>
      <c r="L95">
        <f t="shared" si="27"/>
        <v>4</v>
      </c>
      <c r="M95" s="27">
        <f t="shared" si="28"/>
        <v>72</v>
      </c>
      <c r="N95" s="27">
        <f t="shared" si="29"/>
        <v>267.00310000000002</v>
      </c>
      <c r="O95" s="27">
        <f t="shared" si="30"/>
        <v>16.036222222222225</v>
      </c>
      <c r="P95" s="27">
        <f t="shared" si="24"/>
        <v>445.0051666666667</v>
      </c>
      <c r="Q95" s="27">
        <f t="shared" si="31"/>
        <v>3.5600413333333334</v>
      </c>
      <c r="R95" s="40">
        <f t="shared" si="32"/>
        <v>1.7800206666666667</v>
      </c>
      <c r="S95" s="40">
        <f t="shared" si="32"/>
        <v>0.89001033333333335</v>
      </c>
      <c r="T95" s="40">
        <f t="shared" si="32"/>
        <v>0.44500516666666667</v>
      </c>
      <c r="U95" s="40">
        <f t="shared" si="32"/>
        <v>0.22250258333333334</v>
      </c>
      <c r="V95" s="27">
        <f t="shared" si="33"/>
        <v>29.695599999999999</v>
      </c>
      <c r="W95" s="3">
        <f t="shared" si="34"/>
        <v>22.271699999999999</v>
      </c>
      <c r="X95" s="23">
        <f t="shared" si="35"/>
        <v>0.15984596296346187</v>
      </c>
      <c r="Y95" s="3" t="s">
        <v>376</v>
      </c>
      <c r="Z95" s="3" t="str">
        <f t="shared" si="36"/>
        <v>H2</v>
      </c>
      <c r="AA95" s="3">
        <f t="shared" si="37"/>
        <v>1063864.2967406998</v>
      </c>
      <c r="AB95" s="3">
        <f t="shared" si="23"/>
        <v>63895.753557999989</v>
      </c>
      <c r="AC95" s="3">
        <f t="shared" si="40"/>
        <v>175.05685906301366</v>
      </c>
      <c r="AD95" t="s">
        <v>370</v>
      </c>
      <c r="AE95" s="8" t="s">
        <v>310</v>
      </c>
      <c r="AF95" t="s">
        <v>371</v>
      </c>
      <c r="AG95" t="s">
        <v>215</v>
      </c>
      <c r="AH95" t="s">
        <v>6</v>
      </c>
      <c r="AI95" s="9">
        <v>45473</v>
      </c>
      <c r="AJ95" s="9">
        <v>45473</v>
      </c>
      <c r="AK95" t="s">
        <v>328</v>
      </c>
      <c r="AL95" s="3">
        <f t="shared" si="39"/>
        <v>286908.3</v>
      </c>
    </row>
    <row r="96" spans="1:38" hidden="1" x14ac:dyDescent="0.3">
      <c r="A96" s="6" t="s">
        <v>5</v>
      </c>
      <c r="B96">
        <v>236</v>
      </c>
      <c r="C96">
        <v>10</v>
      </c>
      <c r="D96">
        <v>1.7</v>
      </c>
      <c r="G96">
        <v>200000</v>
      </c>
      <c r="H96" s="29">
        <v>1</v>
      </c>
      <c r="I96" t="s">
        <v>6</v>
      </c>
      <c r="J96" t="s">
        <v>6</v>
      </c>
      <c r="K96" t="str">
        <f t="shared" si="26"/>
        <v>Ja</v>
      </c>
      <c r="L96">
        <f t="shared" si="27"/>
        <v>3.4</v>
      </c>
      <c r="M96" s="7">
        <f t="shared" si="28"/>
        <v>0</v>
      </c>
      <c r="N96" s="7">
        <f t="shared" si="29"/>
        <v>0</v>
      </c>
      <c r="O96" s="7">
        <f t="shared" si="30"/>
        <v>0</v>
      </c>
      <c r="P96" s="7">
        <f t="shared" si="24"/>
        <v>0</v>
      </c>
      <c r="Q96" s="7">
        <f t="shared" si="31"/>
        <v>0</v>
      </c>
      <c r="R96" s="32">
        <f t="shared" si="32"/>
        <v>0</v>
      </c>
      <c r="S96" s="32">
        <f t="shared" si="32"/>
        <v>0</v>
      </c>
      <c r="T96" s="32">
        <f t="shared" si="32"/>
        <v>0</v>
      </c>
      <c r="U96" s="32">
        <f t="shared" si="32"/>
        <v>0</v>
      </c>
      <c r="V96" s="27">
        <f t="shared" si="33"/>
        <v>28.3628</v>
      </c>
      <c r="W96" s="3" t="str">
        <f t="shared" si="34"/>
        <v>n/a</v>
      </c>
      <c r="X96" s="23" t="str">
        <f t="shared" si="35"/>
        <v/>
      </c>
      <c r="Y96" s="3" t="s">
        <v>380</v>
      </c>
      <c r="Z96" s="3" t="str">
        <f t="shared" si="36"/>
        <v>n/a</v>
      </c>
      <c r="AA96" s="3">
        <f t="shared" si="37"/>
        <v>741605.8</v>
      </c>
      <c r="AB96" s="3">
        <f t="shared" si="23"/>
        <v>44540.888888888898</v>
      </c>
      <c r="AC96" s="3">
        <f t="shared" si="40"/>
        <v>122.02983257229835</v>
      </c>
      <c r="AD96" t="s">
        <v>372</v>
      </c>
      <c r="AE96" t="s">
        <v>373</v>
      </c>
      <c r="AF96" t="s">
        <v>374</v>
      </c>
      <c r="AG96" t="s">
        <v>215</v>
      </c>
      <c r="AH96" t="s">
        <v>6</v>
      </c>
      <c r="AI96" s="9">
        <v>44197</v>
      </c>
      <c r="AK96" t="s">
        <v>272</v>
      </c>
      <c r="AL96" s="3">
        <f t="shared" si="39"/>
        <v>200000</v>
      </c>
    </row>
    <row r="97" spans="1:38" x14ac:dyDescent="0.3">
      <c r="A97" s="6" t="s">
        <v>4</v>
      </c>
      <c r="D97">
        <v>1.6</v>
      </c>
      <c r="E97">
        <v>5</v>
      </c>
      <c r="F97">
        <v>1166</v>
      </c>
      <c r="G97">
        <v>6413</v>
      </c>
      <c r="H97" s="29">
        <f t="shared" si="25"/>
        <v>0.65</v>
      </c>
      <c r="I97" t="s">
        <v>195</v>
      </c>
      <c r="J97" t="s">
        <v>196</v>
      </c>
      <c r="K97" t="str">
        <f t="shared" si="26"/>
        <v>Nei</v>
      </c>
      <c r="L97">
        <f t="shared" si="27"/>
        <v>1.6</v>
      </c>
      <c r="M97" s="27">
        <f t="shared" si="28"/>
        <v>5.2</v>
      </c>
      <c r="N97" s="27">
        <f t="shared" si="29"/>
        <v>19.283557222222225</v>
      </c>
      <c r="O97" s="27">
        <f t="shared" si="30"/>
        <v>1.1581716049382718</v>
      </c>
      <c r="P97" s="27">
        <f t="shared" si="24"/>
        <v>32.139262037037042</v>
      </c>
      <c r="Q97" s="27">
        <f t="shared" si="31"/>
        <v>0.25711409629629633</v>
      </c>
      <c r="R97" s="40">
        <f t="shared" si="32"/>
        <v>0.12855704814814817</v>
      </c>
      <c r="S97" s="40">
        <f t="shared" si="32"/>
        <v>6.4278524074074084E-2</v>
      </c>
      <c r="T97" s="40">
        <f t="shared" si="32"/>
        <v>3.2139262037037042E-2</v>
      </c>
      <c r="U97" s="40">
        <f t="shared" si="32"/>
        <v>1.6069631018518521E-2</v>
      </c>
      <c r="V97" s="27">
        <f t="shared" si="33"/>
        <v>5.8956</v>
      </c>
      <c r="W97" s="3" t="str">
        <f t="shared" si="34"/>
        <v>n/a</v>
      </c>
      <c r="X97" s="23" t="str">
        <f t="shared" si="35"/>
        <v/>
      </c>
      <c r="Y97" s="3" t="s">
        <v>380</v>
      </c>
      <c r="Z97" s="3" t="str">
        <f t="shared" si="36"/>
        <v>n/a</v>
      </c>
      <c r="AA97" s="3">
        <f t="shared" si="37"/>
        <v>15456.733485049997</v>
      </c>
      <c r="AB97" s="3">
        <f t="shared" si="23"/>
        <v>928.33234144444441</v>
      </c>
      <c r="AC97" s="3">
        <f t="shared" si="40"/>
        <v>2.5433762779299847</v>
      </c>
      <c r="AL97" s="3">
        <f t="shared" si="39"/>
        <v>4168.45</v>
      </c>
    </row>
    <row r="98" spans="1:38" x14ac:dyDescent="0.3">
      <c r="A98" s="6" t="s">
        <v>3</v>
      </c>
      <c r="D98">
        <v>1.3</v>
      </c>
      <c r="E98">
        <v>5</v>
      </c>
      <c r="F98">
        <v>270</v>
      </c>
      <c r="G98" s="1">
        <v>1485</v>
      </c>
      <c r="H98" s="29">
        <f t="shared" si="25"/>
        <v>0.65</v>
      </c>
      <c r="I98" t="s">
        <v>197</v>
      </c>
      <c r="J98" t="s">
        <v>166</v>
      </c>
      <c r="K98" t="str">
        <f t="shared" si="26"/>
        <v>Nei</v>
      </c>
      <c r="L98">
        <f t="shared" si="27"/>
        <v>1.3</v>
      </c>
      <c r="M98" s="27">
        <f t="shared" si="28"/>
        <v>4.2250000000000005</v>
      </c>
      <c r="N98" s="27">
        <f t="shared" si="29"/>
        <v>15.66789024305556</v>
      </c>
      <c r="O98" s="27">
        <f t="shared" si="30"/>
        <v>0.941014429012346</v>
      </c>
      <c r="P98" s="27">
        <f t="shared" si="24"/>
        <v>26.1131504050926</v>
      </c>
      <c r="Q98" s="27">
        <f t="shared" si="31"/>
        <v>0.2089052032407408</v>
      </c>
      <c r="R98" s="40">
        <f t="shared" si="32"/>
        <v>0.1044526016203704</v>
      </c>
      <c r="S98" s="40">
        <f t="shared" si="32"/>
        <v>5.22263008101852E-2</v>
      </c>
      <c r="T98" s="40">
        <f t="shared" si="32"/>
        <v>2.61131504050926E-2</v>
      </c>
      <c r="U98" s="40">
        <f t="shared" si="32"/>
        <v>1.30565752025463E-2</v>
      </c>
      <c r="V98" s="27">
        <f t="shared" si="33"/>
        <v>5.8956</v>
      </c>
      <c r="W98" s="3" t="str">
        <f t="shared" si="34"/>
        <v>n/a</v>
      </c>
      <c r="X98" s="23" t="str">
        <f t="shared" si="35"/>
        <v/>
      </c>
      <c r="Y98" s="3" t="s">
        <v>380</v>
      </c>
      <c r="Z98" s="3" t="str">
        <f t="shared" si="36"/>
        <v>n/a</v>
      </c>
      <c r="AA98" s="3">
        <f t="shared" si="37"/>
        <v>3579.1749922499998</v>
      </c>
      <c r="AB98" s="3">
        <f t="shared" si="23"/>
        <v>214.96546499999999</v>
      </c>
      <c r="AC98" s="3">
        <f t="shared" si="40"/>
        <v>0.58894647945205481</v>
      </c>
      <c r="AL98" s="3">
        <f t="shared" si="39"/>
        <v>965.25</v>
      </c>
    </row>
    <row r="99" spans="1:38" hidden="1" x14ac:dyDescent="0.3">
      <c r="N99"/>
      <c r="O99"/>
      <c r="P99"/>
      <c r="Q99"/>
      <c r="R99" s="4"/>
      <c r="S99" s="4"/>
      <c r="T99" s="4"/>
      <c r="U99" s="4"/>
      <c r="Y99" s="3"/>
      <c r="AL99" s="3">
        <f>SUM(AL3:AL98)</f>
        <v>58031153.100000001</v>
      </c>
    </row>
    <row r="100" spans="1:38" hidden="1" x14ac:dyDescent="0.3">
      <c r="B100" s="3"/>
      <c r="C100" s="3"/>
      <c r="D100" s="3"/>
      <c r="E100" s="3"/>
      <c r="F100" s="3"/>
      <c r="G100" s="3"/>
      <c r="N100"/>
      <c r="O100"/>
      <c r="P100"/>
      <c r="Q100"/>
      <c r="R100" s="4"/>
      <c r="S100" s="4"/>
      <c r="T100" s="4"/>
      <c r="U100" s="4"/>
      <c r="AL100" s="3">
        <f>8589832000</f>
        <v>8589832000</v>
      </c>
    </row>
    <row r="101" spans="1:38" hidden="1" x14ac:dyDescent="0.3">
      <c r="B101" s="3"/>
      <c r="C101" s="3"/>
      <c r="D101" s="3"/>
      <c r="E101" s="3"/>
      <c r="F101" s="3"/>
      <c r="G101" s="3"/>
      <c r="N101"/>
      <c r="O101"/>
      <c r="P101"/>
      <c r="Q101"/>
      <c r="R101" s="4"/>
      <c r="S101" s="4"/>
      <c r="T101" s="4"/>
      <c r="U101" s="4"/>
      <c r="AL101" s="38">
        <f>AL99/AL100</f>
        <v>6.7557960504931883E-3</v>
      </c>
    </row>
    <row r="102" spans="1:38" x14ac:dyDescent="0.3">
      <c r="W102" s="3"/>
      <c r="X102" s="3"/>
    </row>
    <row r="104" spans="1:38" x14ac:dyDescent="0.3">
      <c r="A104">
        <f>COUNTA(A3:A98)</f>
        <v>96</v>
      </c>
      <c r="Z104">
        <f>COUNTIF(Z$3:Z$98,"Batteri")</f>
        <v>30</v>
      </c>
      <c r="AA104" t="s">
        <v>413</v>
      </c>
    </row>
    <row r="105" spans="1:38" x14ac:dyDescent="0.3">
      <c r="Y105">
        <f>Z105+Z104</f>
        <v>81</v>
      </c>
      <c r="Z105">
        <f>COUNTIF(Z$3:Z$98,"H2")</f>
        <v>51</v>
      </c>
      <c r="AA105" t="s">
        <v>412</v>
      </c>
      <c r="AI105" s="9">
        <f>MAX(AI3:AI98)</f>
        <v>49674</v>
      </c>
      <c r="AJ105" s="9">
        <f>MAX(AJ3:AJ98)</f>
        <v>49674</v>
      </c>
    </row>
    <row r="106" spans="1:38" x14ac:dyDescent="0.3">
      <c r="P106" s="43"/>
      <c r="Y106">
        <f>Y105+Z106</f>
        <v>96</v>
      </c>
      <c r="Z106">
        <f>COUNTIF(Z$3:Z$98,"n/a")</f>
        <v>15</v>
      </c>
      <c r="AA106" t="s">
        <v>411</v>
      </c>
    </row>
  </sheetData>
  <autoFilter ref="A2:AK101" xr:uid="{FB620D21-7E8C-441E-B0B0-F4E6A1DBD094}">
    <filterColumn colId="4">
      <customFilters>
        <customFilter operator="notEqual" val=" "/>
      </customFilters>
    </filterColumn>
  </autoFilter>
  <sortState xmlns:xlrd2="http://schemas.microsoft.com/office/spreadsheetml/2017/richdata2" ref="A3:G98">
    <sortCondition descending="1" ref="D3:D98"/>
  </sortState>
  <mergeCells count="3">
    <mergeCell ref="A1:G1"/>
    <mergeCell ref="AD1:AI1"/>
    <mergeCell ref="AA1:AC1"/>
  </mergeCells>
  <phoneticPr fontId="7" type="noConversion"/>
  <conditionalFormatting sqref="X3:X98">
    <cfRule type="colorScale" priority="3">
      <colorScale>
        <cfvo type="num" val="0.8"/>
        <cfvo type="num" val="1.1000000000000001"/>
        <cfvo type="num" val="2"/>
        <color theme="9"/>
        <color rgb="FFFFEB84"/>
        <color rgb="FFC00000"/>
      </colorScale>
    </cfRule>
  </conditionalFormatting>
  <conditionalFormatting sqref="R3:U98">
    <cfRule type="colorScale" priority="1">
      <colorScale>
        <cfvo type="num" val="3"/>
        <cfvo type="num" val="6"/>
        <cfvo type="num" val="10"/>
        <color theme="9" tint="0.39997558519241921"/>
        <color theme="7" tint="0.59999389629810485"/>
        <color theme="5" tint="0.39997558519241921"/>
      </colorScale>
    </cfRule>
  </conditionalFormatting>
  <hyperlinks>
    <hyperlink ref="AE35" r:id="rId1" xr:uid="{3A76F07B-5EC3-45A7-8479-02CF3873D1A4}"/>
    <hyperlink ref="AE29" r:id="rId2" xr:uid="{2165BDF2-CCE2-4F25-B9CA-D42368275EEB}"/>
    <hyperlink ref="AE30" r:id="rId3" xr:uid="{3F4ECFB0-3E45-41A3-B9A8-8FFAAF06E88E}"/>
    <hyperlink ref="AE74" r:id="rId4" xr:uid="{7D8675F7-0879-4096-98B3-FE463E0EBB1B}"/>
    <hyperlink ref="AE37" r:id="rId5" xr:uid="{C3336D9B-8B1A-4B78-B50C-8247EA145136}"/>
    <hyperlink ref="AE9" r:id="rId6" xr:uid="{EEC14FF6-A21A-4F18-B8D5-B7F5DB90489A}"/>
    <hyperlink ref="AE17" r:id="rId7" xr:uid="{428E8191-EDAB-4099-B82E-8B98D59F50D6}"/>
    <hyperlink ref="AE89" r:id="rId8" xr:uid="{D1A52AE6-1763-4D70-98C6-1DA53CCDE744}"/>
    <hyperlink ref="AE68" r:id="rId9" xr:uid="{8B91451A-244F-4BF3-B4EF-36C19BC443A6}"/>
    <hyperlink ref="AE16" r:id="rId10" xr:uid="{D3A94EC1-802C-462B-9A74-26D7219B9D47}"/>
    <hyperlink ref="AE7" r:id="rId11" xr:uid="{54AAB572-FBF7-4B1A-B8BA-4E3F73E715A9}"/>
    <hyperlink ref="AE34" r:id="rId12" xr:uid="{BF3D4E33-B706-4E6E-9B00-D1786626CE37}"/>
    <hyperlink ref="AE19" r:id="rId13" xr:uid="{FB69F693-6EC7-419E-A2B1-89E48831A9F3}"/>
    <hyperlink ref="AE18" r:id="rId14" xr:uid="{A8F2A2E3-B5D3-49C8-842A-1D7EEB0841EA}"/>
    <hyperlink ref="AE58" r:id="rId15" xr:uid="{7846275A-319F-477C-A13D-921812998302}"/>
    <hyperlink ref="AE44" r:id="rId16" xr:uid="{A1D88FEC-1ED8-4CE4-A771-5B53C0956D2F}"/>
    <hyperlink ref="AE78" r:id="rId17" xr:uid="{5FA40CBB-5B11-4545-8A46-047EF379F9E3}"/>
    <hyperlink ref="AE8" r:id="rId18" xr:uid="{CA689FB5-A273-4BA6-8569-9D3D109E3439}"/>
    <hyperlink ref="AE13" r:id="rId19" xr:uid="{2F2C47C1-0594-4AFE-87CE-1BD3ADCBE1F3}"/>
    <hyperlink ref="AE47" r:id="rId20" xr:uid="{ECA201B6-977D-406E-A46B-28074B4C9742}"/>
    <hyperlink ref="AE48" r:id="rId21" xr:uid="{A9512EA8-976A-4D06-B33F-8CDACDBBDDDC}"/>
    <hyperlink ref="AE42" r:id="rId22" xr:uid="{8FE8359B-EB6C-461F-B284-1D0DCDF46DF1}"/>
    <hyperlink ref="AE39" r:id="rId23" xr:uid="{93C312CB-EF49-49E2-9F29-98F70937FC1B}"/>
    <hyperlink ref="AE75" r:id="rId24" xr:uid="{8099D078-19F5-4F3A-91B3-380BA998186A}"/>
    <hyperlink ref="AE14" r:id="rId25" xr:uid="{C1C21154-DC55-4637-8F80-7AC4314BBC93}"/>
    <hyperlink ref="AE41" r:id="rId26" xr:uid="{82F80DCD-F171-4D27-AA2A-7444A2CE10C5}"/>
    <hyperlink ref="AE72" r:id="rId27" xr:uid="{18DFA0C1-98BA-439F-B626-77F8848B6ADF}"/>
    <hyperlink ref="AE22" r:id="rId28" xr:uid="{134D6431-1F88-4EEF-B17E-2EF7A569AC39}"/>
    <hyperlink ref="AE80" r:id="rId29" xr:uid="{7CCC67D3-63C5-47E6-8989-6C35B9365ADB}"/>
    <hyperlink ref="AE56" r:id="rId30" xr:uid="{7E9A3B58-D41D-4CF1-B650-68CD31069974}"/>
    <hyperlink ref="AE12" r:id="rId31" xr:uid="{444ACDA2-B832-4F70-AF1B-5A112E2F8455}"/>
    <hyperlink ref="AE60" r:id="rId32" xr:uid="{5D17D697-DE25-426A-B905-0AF100916E26}"/>
    <hyperlink ref="AE90" r:id="rId33" xr:uid="{81F5796D-7EA0-4ADC-B49F-FCE214242498}"/>
    <hyperlink ref="AE95" r:id="rId34" xr:uid="{76EC3F26-A1EF-475B-90BA-66F623126405}"/>
    <hyperlink ref="AE52" r:id="rId35" xr:uid="{864453B5-58DB-4361-8BA7-F779B1E1FE28}"/>
    <hyperlink ref="AE81" r:id="rId36" xr:uid="{16DEB291-621F-4561-A40B-1AC37F5BB769}"/>
    <hyperlink ref="AE82" r:id="rId37" xr:uid="{44C406F3-13BB-4679-809D-16E137AB9AA7}"/>
    <hyperlink ref="AE83" r:id="rId38" xr:uid="{8B15BFAF-B3DA-4004-A70A-7102DFB4EDFA}"/>
    <hyperlink ref="AE55" r:id="rId39" xr:uid="{14EF8970-376D-4F15-A939-156A891C3868}"/>
    <hyperlink ref="AE65" r:id="rId40" xr:uid="{A234FC53-EDD7-4FCD-B022-BAB434DF8200}"/>
    <hyperlink ref="AE33" r:id="rId41" xr:uid="{329523B0-E0B8-4189-9999-A18FE8BEDB45}"/>
    <hyperlink ref="AE4" r:id="rId42" xr:uid="{457B04C7-9018-441C-82A2-2DAE6A506E22}"/>
    <hyperlink ref="AE3" r:id="rId43" xr:uid="{CFFD7655-2B3A-4506-ABCE-676810A2BAC1}"/>
    <hyperlink ref="AE79" r:id="rId44" xr:uid="{B7BC6885-0A90-4346-BCCE-023DE6A7983D}"/>
    <hyperlink ref="AE50" r:id="rId45" xr:uid="{F04E3149-EAC5-4167-B362-7EC184C50C5B}"/>
    <hyperlink ref="AE67" r:id="rId46" xr:uid="{AD3EB1A6-FB26-47B3-95D4-E866FDAA47E5}"/>
    <hyperlink ref="AE25" r:id="rId47" xr:uid="{322D86D9-264C-4304-8B20-136742E8381D}"/>
    <hyperlink ref="AE53" r:id="rId48" xr:uid="{C2E52E6B-397D-40F8-81C2-4432DC0A51BE}"/>
    <hyperlink ref="AE57" r:id="rId49" xr:uid="{5491511B-1629-4113-AD85-DF00B0E4ACE3}"/>
    <hyperlink ref="AE49" r:id="rId50" xr:uid="{5C6088CA-6CF0-40A8-B290-CD8DAD84BA5E}"/>
    <hyperlink ref="AE66" r:id="rId51" xr:uid="{CA9099BE-6351-474D-AD38-F4A3195C257F}"/>
    <hyperlink ref="AE86" r:id="rId52" xr:uid="{23726EA2-9A15-4EEA-A884-8D7B17444B7C}"/>
    <hyperlink ref="AE38" r:id="rId53" xr:uid="{8F28C957-52F1-476B-BF61-77CF547BC489}"/>
    <hyperlink ref="AE27" r:id="rId54" xr:uid="{67E5FD3D-4734-4FDF-AC25-C7CAEBB8B493}"/>
    <hyperlink ref="AE23" r:id="rId55" xr:uid="{DC8237A6-80FB-47D5-9526-5CCE45B83CEE}"/>
    <hyperlink ref="AE11" r:id="rId56" xr:uid="{A9A2BD75-4406-4215-96C7-4BD6C6E1691F}"/>
    <hyperlink ref="AE63" r:id="rId57" xr:uid="{046FEB6A-26CC-4722-B70B-E7A81581E78B}"/>
    <hyperlink ref="AE51" r:id="rId58" xr:uid="{BC557F11-7DED-46E8-8CA2-7CF10452732D}"/>
    <hyperlink ref="AE15" r:id="rId59" display="AtB" xr:uid="{2979A77F-1988-43EF-9119-647EC0D1C971}"/>
    <hyperlink ref="AE73" r:id="rId60" xr:uid="{28A98161-6453-4FA5-AE5D-31872B49587A}"/>
    <hyperlink ref="AE32" r:id="rId61" xr:uid="{D5CDC2E7-7DBD-4149-9174-F441C720CB1D}"/>
    <hyperlink ref="AE36" r:id="rId62" xr:uid="{2E1C60E8-FE0B-4FD7-BC07-34B399290AEF}"/>
    <hyperlink ref="AE6" r:id="rId63" xr:uid="{4C62A076-A1BA-441A-A4B0-3757B294F61A}"/>
    <hyperlink ref="AE20" r:id="rId64" xr:uid="{496FC9A1-9CA8-4B3C-8F45-189785830CD6}"/>
    <hyperlink ref="AE21" r:id="rId65" xr:uid="{E48E1D69-EA03-4DA8-BEB7-8C7126DBA190}"/>
    <hyperlink ref="AE24" r:id="rId66" xr:uid="{5415A296-E340-4AD8-8344-00BAF90C65CD}"/>
    <hyperlink ref="AE26" r:id="rId67" xr:uid="{74D52FF5-3657-4A7E-A817-F1FCF9D61463}"/>
    <hyperlink ref="AE45" r:id="rId68" xr:uid="{BBA85552-6513-47F2-B897-6898A61B69BC}"/>
    <hyperlink ref="AE46" r:id="rId69" xr:uid="{DDC9AAC8-59D1-4C6F-9B99-F703C61245FE}"/>
    <hyperlink ref="AE54" r:id="rId70" xr:uid="{D25715BA-5C16-4C89-8490-9228BA5D3990}"/>
    <hyperlink ref="AE59" r:id="rId71" xr:uid="{27738926-E718-44BC-83C8-84EB318E75E8}"/>
    <hyperlink ref="AE61" r:id="rId72" xr:uid="{716F677D-1369-4825-8CE3-E13B9C31085E}"/>
    <hyperlink ref="AE62" r:id="rId73" xr:uid="{EE3E24CD-BB80-4574-8D72-67EB4EDF5518}"/>
    <hyperlink ref="AE64" r:id="rId74" xr:uid="{B538B983-C12E-4554-9A93-8FEE8B4D6750}"/>
    <hyperlink ref="AE69" r:id="rId75" xr:uid="{350C7845-1C58-4528-A398-D55F666EE998}"/>
    <hyperlink ref="AE77" r:id="rId76" xr:uid="{6EA35E8B-666D-48C2-8225-082FB4BA5DFF}"/>
    <hyperlink ref="AE84" r:id="rId77" xr:uid="{A47A71C5-EB73-4D01-A9CA-E8075CE0B7F7}"/>
    <hyperlink ref="AE85" r:id="rId78" xr:uid="{E1CBF6A3-0FA3-441A-B3FA-517E23C5DBE6}"/>
    <hyperlink ref="AE92" r:id="rId79" xr:uid="{8D3E6400-C1E1-48B1-A240-84AC28B1ECBD}"/>
    <hyperlink ref="AE94" r:id="rId80" xr:uid="{419CAECE-71F8-4C71-A620-66F5B3951703}"/>
  </hyperlinks>
  <pageMargins left="0.7" right="0.7" top="0.75" bottom="0.75" header="0.3" footer="0.3"/>
  <pageSetup paperSize="9" orientation="portrait" horizontalDpi="300" verticalDpi="300" r:id="rId8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59C1-EC72-48C2-BFBF-802253D25E82}">
  <sheetPr codeName="Sheet2"/>
  <dimension ref="A1:T102"/>
  <sheetViews>
    <sheetView zoomScaleNormal="100" workbookViewId="0">
      <selection activeCell="E14" sqref="E14"/>
    </sheetView>
  </sheetViews>
  <sheetFormatPr defaultColWidth="8.88671875" defaultRowHeight="14.4" x14ac:dyDescent="0.3"/>
  <cols>
    <col min="1" max="1" width="14.6640625" bestFit="1" customWidth="1"/>
    <col min="2" max="2" width="20.109375" bestFit="1" customWidth="1"/>
    <col min="3" max="4" width="10.44140625" bestFit="1" customWidth="1"/>
    <col min="5" max="5" width="5.5546875" bestFit="1" customWidth="1"/>
    <col min="6" max="14" width="11.33203125" bestFit="1" customWidth="1"/>
    <col min="15" max="19" width="10.109375" bestFit="1" customWidth="1"/>
  </cols>
  <sheetData>
    <row r="1" spans="1:20" x14ac:dyDescent="0.3">
      <c r="F1" s="45" t="s">
        <v>203</v>
      </c>
      <c r="G1" s="45"/>
      <c r="H1" s="45"/>
      <c r="I1" s="45"/>
      <c r="J1" s="45"/>
      <c r="K1" s="45"/>
      <c r="L1" s="45"/>
      <c r="M1" s="45"/>
      <c r="N1" s="45"/>
    </row>
    <row r="2" spans="1:20" x14ac:dyDescent="0.3">
      <c r="F2" s="35">
        <v>44926</v>
      </c>
      <c r="G2" s="35">
        <v>45291</v>
      </c>
      <c r="H2" s="35">
        <v>45657</v>
      </c>
      <c r="I2" s="35">
        <v>46022</v>
      </c>
      <c r="J2" s="35">
        <v>46387</v>
      </c>
      <c r="K2" s="35">
        <v>46752</v>
      </c>
      <c r="L2" s="35">
        <v>47118</v>
      </c>
      <c r="M2" s="35">
        <v>47483</v>
      </c>
      <c r="N2" s="35">
        <v>47848</v>
      </c>
      <c r="O2" s="35">
        <v>48213</v>
      </c>
      <c r="P2" s="35">
        <v>48579</v>
      </c>
      <c r="Q2" s="35">
        <v>48944</v>
      </c>
      <c r="R2" s="35">
        <v>49309</v>
      </c>
      <c r="S2" s="35">
        <v>49674</v>
      </c>
    </row>
    <row r="3" spans="1:20" s="24" customFormat="1" ht="48" customHeight="1" x14ac:dyDescent="0.3">
      <c r="A3" s="24" t="s">
        <v>407</v>
      </c>
      <c r="B3" s="24" t="s">
        <v>408</v>
      </c>
      <c r="C3" s="24" t="s">
        <v>410</v>
      </c>
      <c r="D3" s="24" t="s">
        <v>409</v>
      </c>
      <c r="E3" s="24">
        <v>2021</v>
      </c>
      <c r="F3" s="24">
        <f>YEAR(F2)</f>
        <v>2022</v>
      </c>
      <c r="G3" s="24">
        <f t="shared" ref="G3:S3" si="0">YEAR(G2)</f>
        <v>2023</v>
      </c>
      <c r="H3" s="24">
        <f t="shared" si="0"/>
        <v>2024</v>
      </c>
      <c r="I3" s="24">
        <f t="shared" si="0"/>
        <v>2025</v>
      </c>
      <c r="J3" s="24">
        <f t="shared" si="0"/>
        <v>2026</v>
      </c>
      <c r="K3" s="24">
        <f t="shared" si="0"/>
        <v>2027</v>
      </c>
      <c r="L3" s="24">
        <f t="shared" si="0"/>
        <v>2028</v>
      </c>
      <c r="M3" s="24">
        <f t="shared" si="0"/>
        <v>2029</v>
      </c>
      <c r="N3" s="24">
        <f t="shared" si="0"/>
        <v>2030</v>
      </c>
      <c r="O3" s="24">
        <f t="shared" si="0"/>
        <v>2031</v>
      </c>
      <c r="P3" s="24">
        <f t="shared" si="0"/>
        <v>2032</v>
      </c>
      <c r="Q3" s="24">
        <f t="shared" si="0"/>
        <v>2033</v>
      </c>
      <c r="R3" s="24">
        <f t="shared" si="0"/>
        <v>2034</v>
      </c>
      <c r="S3" s="24">
        <f t="shared" si="0"/>
        <v>2035</v>
      </c>
    </row>
    <row r="4" spans="1:20" x14ac:dyDescent="0.3">
      <c r="A4" t="s">
        <v>105</v>
      </c>
      <c r="B4" t="s">
        <v>388</v>
      </c>
      <c r="C4" s="3">
        <f>COUNTIF('Alle ruter'!$I$3:$I$98,'H2 pr endeplass'!A4)+COUNTIFS('Alle ruter'!$J$3:$J$98,'H2 pr endeplass'!A4,'Alle ruter'!$K$3:$K$98,"Nei")</f>
        <v>6</v>
      </c>
      <c r="D4" s="3">
        <f>COUNTIFS('Alle ruter'!$I$3:$I$98,'H2 pr endeplass'!A4,'Alle ruter'!$Z$3:$Z$98,"H2")+COUNTIFS('Alle ruter'!$J$3:$J$98,'H2 pr endeplass'!A4,'Alle ruter'!$K$3:$K$98,"Nei",'Alle ruter'!$Z$3:$Z$98,"H2")</f>
        <v>6</v>
      </c>
      <c r="E4">
        <v>0</v>
      </c>
      <c r="F4" s="3">
        <f>SUMIFS('Alle ruter'!$AC$3:$AC$98,'Alle ruter'!$Z$3:$Z$98,"H2",'Alle ruter'!$I$3:$I$98,$A4,'Alle ruter'!$AJ$3:$AJ$98,"&lt;="&amp;F$2)/2+SUMIFS('Alle ruter'!$AC$3:$AC$98,'Alle ruter'!$Z$3:$Z$98,"H2",'Alle ruter'!$J$3:$J$98,$A4,'Alle ruter'!$AJ$3:$AJ$98,"&lt;="&amp;F$2)/2</f>
        <v>1282.7995958773211</v>
      </c>
      <c r="G4" s="3">
        <f>SUMIFS('Alle ruter'!$AC$3:$AC$98,'Alle ruter'!$Z$3:$Z$98,"H2",'Alle ruter'!$I$3:$I$98,$A4,'Alle ruter'!$AJ$3:$AJ$98,"&lt;="&amp;G$2)/2+SUMIFS('Alle ruter'!$AC$3:$AC$98,'Alle ruter'!$Z$3:$Z$98,"H2",'Alle ruter'!$J$3:$J$98,$A4,'Alle ruter'!$AJ$3:$AJ$98,"&lt;="&amp;G$2)/2</f>
        <v>1282.7995958773211</v>
      </c>
      <c r="H4" s="3">
        <f>SUMIFS('Alle ruter'!$AC$3:$AC$98,'Alle ruter'!$Z$3:$Z$98,"H2",'Alle ruter'!$I$3:$I$98,$A4,'Alle ruter'!$AJ$3:$AJ$98,"&lt;="&amp;H$2)/2+SUMIFS('Alle ruter'!$AC$3:$AC$98,'Alle ruter'!$Z$3:$Z$98,"H2",'Alle ruter'!$J$3:$J$98,$A4,'Alle ruter'!$AJ$3:$AJ$98,"&lt;="&amp;H$2)/2</f>
        <v>2217.2613432745811</v>
      </c>
      <c r="I4" s="3">
        <f>SUMIFS('Alle ruter'!$AC$3:$AC$98,'Alle ruter'!$Z$3:$Z$98,"H2",'Alle ruter'!$I$3:$I$98,$A4,'Alle ruter'!$AJ$3:$AJ$98,"&lt;="&amp;I$2)/2+SUMIFS('Alle ruter'!$AC$3:$AC$98,'Alle ruter'!$Z$3:$Z$98,"H2",'Alle ruter'!$J$3:$J$98,$A4,'Alle ruter'!$AJ$3:$AJ$98,"&lt;="&amp;I$2)/2</f>
        <v>2217.2613432745811</v>
      </c>
      <c r="J4" s="3">
        <f>SUMIFS('Alle ruter'!$AC$3:$AC$98,'Alle ruter'!$Z$3:$Z$98,"H2",'Alle ruter'!$I$3:$I$98,$A4,'Alle ruter'!$AJ$3:$AJ$98,"&lt;="&amp;J$2)/2+SUMIFS('Alle ruter'!$AC$3:$AC$98,'Alle ruter'!$Z$3:$Z$98,"H2",'Alle ruter'!$J$3:$J$98,$A4,'Alle ruter'!$AJ$3:$AJ$98,"&lt;="&amp;J$2)/2</f>
        <v>2217.2613432745811</v>
      </c>
      <c r="K4" s="3">
        <f>SUMIFS('Alle ruter'!$AC$3:$AC$98,'Alle ruter'!$Z$3:$Z$98,"H2",'Alle ruter'!$I$3:$I$98,$A4,'Alle ruter'!$AJ$3:$AJ$98,"&lt;="&amp;K$2)/2+SUMIFS('Alle ruter'!$AC$3:$AC$98,'Alle ruter'!$Z$3:$Z$98,"H2",'Alle ruter'!$J$3:$J$98,$A4,'Alle ruter'!$AJ$3:$AJ$98,"&lt;="&amp;K$2)/2</f>
        <v>3669.6299335993908</v>
      </c>
      <c r="L4" s="3">
        <f>SUMIFS('Alle ruter'!$AC$3:$AC$98,'Alle ruter'!$Z$3:$Z$98,"H2",'Alle ruter'!$I$3:$I$98,$A4,'Alle ruter'!$AJ$3:$AJ$98,"&lt;="&amp;L$2)/2+SUMIFS('Alle ruter'!$AC$3:$AC$98,'Alle ruter'!$Z$3:$Z$98,"H2",'Alle ruter'!$J$3:$J$98,$A4,'Alle ruter'!$AJ$3:$AJ$98,"&lt;="&amp;L$2)/2</f>
        <v>3669.6299335993908</v>
      </c>
      <c r="M4" s="3">
        <f>SUMIFS('Alle ruter'!$AC$3:$AC$98,'Alle ruter'!$Z$3:$Z$98,"H2",'Alle ruter'!$I$3:$I$98,$A4,'Alle ruter'!$AJ$3:$AJ$98,"&lt;="&amp;M$2)/2+SUMIFS('Alle ruter'!$AC$3:$AC$98,'Alle ruter'!$Z$3:$Z$98,"H2",'Alle ruter'!$J$3:$J$98,$A4,'Alle ruter'!$AJ$3:$AJ$98,"&lt;="&amp;M$2)/2</f>
        <v>3669.6299335993908</v>
      </c>
      <c r="N4" s="3">
        <f>SUMIFS('Alle ruter'!$AC$3:$AC$98,'Alle ruter'!$Z$3:$Z$98,"H2",'Alle ruter'!$I$3:$I$98,$A4,'Alle ruter'!$AJ$3:$AJ$98,"&lt;="&amp;N$2)/2+SUMIFS('Alle ruter'!$AC$3:$AC$98,'Alle ruter'!$Z$3:$Z$98,"H2",'Alle ruter'!$J$3:$J$98,$A4,'Alle ruter'!$AJ$3:$AJ$98,"&lt;="&amp;N$2)/2</f>
        <v>3669.6299335993908</v>
      </c>
      <c r="O4" s="3">
        <f>SUMIFS('Alle ruter'!$AC$3:$AC$98,'Alle ruter'!$Z$3:$Z$98,"H2",'Alle ruter'!$I$3:$I$98,$A4,'Alle ruter'!$AJ$3:$AJ$98,"&lt;="&amp;O$2)/2+SUMIFS('Alle ruter'!$AC$3:$AC$98,'Alle ruter'!$Z$3:$Z$98,"H2",'Alle ruter'!$J$3:$J$98,$A4,'Alle ruter'!$AJ$3:$AJ$98,"&lt;="&amp;O$2)/2</f>
        <v>3669.6299335993908</v>
      </c>
      <c r="P4" s="3">
        <f>SUMIFS('Alle ruter'!$AC$3:$AC$98,'Alle ruter'!$Z$3:$Z$98,"H2",'Alle ruter'!$I$3:$I$98,$A4,'Alle ruter'!$AJ$3:$AJ$98,"&lt;="&amp;P$2)/2+SUMIFS('Alle ruter'!$AC$3:$AC$98,'Alle ruter'!$Z$3:$Z$98,"H2",'Alle ruter'!$J$3:$J$98,$A4,'Alle ruter'!$AJ$3:$AJ$98,"&lt;="&amp;P$2)/2</f>
        <v>3669.6299335993908</v>
      </c>
      <c r="Q4" s="3">
        <f>SUMIFS('Alle ruter'!$AC$3:$AC$98,'Alle ruter'!$Z$3:$Z$98,"H2",'Alle ruter'!$I$3:$I$98,$A4,'Alle ruter'!$AJ$3:$AJ$98,"&lt;="&amp;Q$2)/2+SUMIFS('Alle ruter'!$AC$3:$AC$98,'Alle ruter'!$Z$3:$Z$98,"H2",'Alle ruter'!$J$3:$J$98,$A4,'Alle ruter'!$AJ$3:$AJ$98,"&lt;="&amp;Q$2)/2</f>
        <v>3669.6299335993908</v>
      </c>
      <c r="R4" s="3">
        <f>SUMIFS('Alle ruter'!$AC$3:$AC$98,'Alle ruter'!$Z$3:$Z$98,"H2",'Alle ruter'!$I$3:$I$98,$A4,'Alle ruter'!$AJ$3:$AJ$98,"&lt;="&amp;R$2)/2+SUMIFS('Alle ruter'!$AC$3:$AC$98,'Alle ruter'!$Z$3:$Z$98,"H2",'Alle ruter'!$J$3:$J$98,$A4,'Alle ruter'!$AJ$3:$AJ$98,"&lt;="&amp;R$2)/2</f>
        <v>3669.6299335993908</v>
      </c>
      <c r="S4" s="3">
        <f>SUMIFS('Alle ruter'!$AC$3:$AC$98,'Alle ruter'!$Z$3:$Z$98,"H2",'Alle ruter'!$I$3:$I$98,$A4,'Alle ruter'!$AJ$3:$AJ$98,"&lt;="&amp;S$2)/2+SUMIFS('Alle ruter'!$AC$3:$AC$98,'Alle ruter'!$Z$3:$Z$98,"H2",'Alle ruter'!$J$3:$J$98,$A4,'Alle ruter'!$AJ$3:$AJ$98,"&lt;="&amp;S$2)/2</f>
        <v>3669.6299335993908</v>
      </c>
      <c r="T4" s="3"/>
    </row>
    <row r="5" spans="1:20" x14ac:dyDescent="0.3">
      <c r="A5" t="s">
        <v>112</v>
      </c>
      <c r="B5" t="s">
        <v>15</v>
      </c>
      <c r="C5" s="3">
        <f>COUNTIF('Alle ruter'!$I$3:$I$98,'H2 pr endeplass'!A5)+COUNTIFS('Alle ruter'!$J$3:$J$98,'H2 pr endeplass'!A5,'Alle ruter'!$K$3:$K$98,"Nei")</f>
        <v>7</v>
      </c>
      <c r="D5" s="3">
        <f>COUNTIFS('Alle ruter'!$I$3:$I$98,'H2 pr endeplass'!A5,'Alle ruter'!$Z$3:$Z$98,"H2")+COUNTIFS('Alle ruter'!$J$3:$J$98,'H2 pr endeplass'!A5,'Alle ruter'!$K$3:$K$98,"Nei",'Alle ruter'!$Z$3:$Z$98,"H2")</f>
        <v>6</v>
      </c>
      <c r="E5">
        <v>0</v>
      </c>
      <c r="F5" s="3">
        <f>SUMIFS('Alle ruter'!$AC$3:$AC$98,'Alle ruter'!$Z$3:$Z$98,"H2",'Alle ruter'!$I$3:$I$98,$A5,'Alle ruter'!$AJ$3:$AJ$98,"&lt;="&amp;F$2)/2+SUMIFS('Alle ruter'!$AC$3:$AC$98,'Alle ruter'!$Z$3:$Z$98,"H2",'Alle ruter'!$J$3:$J$98,$A5,'Alle ruter'!$AJ$3:$AJ$98,"&lt;="&amp;F$2)/2</f>
        <v>1403.1729192336379</v>
      </c>
      <c r="G5" s="3">
        <f>SUMIFS('Alle ruter'!$AC$3:$AC$98,'Alle ruter'!$Z$3:$Z$98,"H2",'Alle ruter'!$I$3:$I$98,$A5,'Alle ruter'!$AJ$3:$AJ$98,"&lt;="&amp;G$2)/2+SUMIFS('Alle ruter'!$AC$3:$AC$98,'Alle ruter'!$Z$3:$Z$98,"H2",'Alle ruter'!$J$3:$J$98,$A5,'Alle ruter'!$AJ$3:$AJ$98,"&lt;="&amp;G$2)/2</f>
        <v>1403.1729192336379</v>
      </c>
      <c r="H5" s="3">
        <f>SUMIFS('Alle ruter'!$AC$3:$AC$98,'Alle ruter'!$Z$3:$Z$98,"H2",'Alle ruter'!$I$3:$I$98,$A5,'Alle ruter'!$AJ$3:$AJ$98,"&lt;="&amp;H$2)/2+SUMIFS('Alle ruter'!$AC$3:$AC$98,'Alle ruter'!$Z$3:$Z$98,"H2",'Alle ruter'!$J$3:$J$98,$A5,'Alle ruter'!$AJ$3:$AJ$98,"&lt;="&amp;H$2)/2</f>
        <v>1403.1729192336379</v>
      </c>
      <c r="I5" s="3">
        <f>SUMIFS('Alle ruter'!$AC$3:$AC$98,'Alle ruter'!$Z$3:$Z$98,"H2",'Alle ruter'!$I$3:$I$98,$A5,'Alle ruter'!$AJ$3:$AJ$98,"&lt;="&amp;I$2)/2+SUMIFS('Alle ruter'!$AC$3:$AC$98,'Alle ruter'!$Z$3:$Z$98,"H2",'Alle ruter'!$J$3:$J$98,$A5,'Alle ruter'!$AJ$3:$AJ$98,"&lt;="&amp;I$2)/2</f>
        <v>1403.1729192336379</v>
      </c>
      <c r="J5" s="3">
        <f>SUMIFS('Alle ruter'!$AC$3:$AC$98,'Alle ruter'!$Z$3:$Z$98,"H2",'Alle ruter'!$I$3:$I$98,$A5,'Alle ruter'!$AJ$3:$AJ$98,"&lt;="&amp;J$2)/2+SUMIFS('Alle ruter'!$AC$3:$AC$98,'Alle ruter'!$Z$3:$Z$98,"H2",'Alle ruter'!$J$3:$J$98,$A5,'Alle ruter'!$AJ$3:$AJ$98,"&lt;="&amp;J$2)/2</f>
        <v>1403.1729192336379</v>
      </c>
      <c r="K5" s="3">
        <f>SUMIFS('Alle ruter'!$AC$3:$AC$98,'Alle ruter'!$Z$3:$Z$98,"H2",'Alle ruter'!$I$3:$I$98,$A5,'Alle ruter'!$AJ$3:$AJ$98,"&lt;="&amp;K$2)/2+SUMIFS('Alle ruter'!$AC$3:$AC$98,'Alle ruter'!$Z$3:$Z$98,"H2",'Alle ruter'!$J$3:$J$98,$A5,'Alle ruter'!$AJ$3:$AJ$98,"&lt;="&amp;K$2)/2</f>
        <v>2235.0009268117201</v>
      </c>
      <c r="L5" s="3">
        <f>SUMIFS('Alle ruter'!$AC$3:$AC$98,'Alle ruter'!$Z$3:$Z$98,"H2",'Alle ruter'!$I$3:$I$98,$A5,'Alle ruter'!$AJ$3:$AJ$98,"&lt;="&amp;L$2)/2+SUMIFS('Alle ruter'!$AC$3:$AC$98,'Alle ruter'!$Z$3:$Z$98,"H2",'Alle ruter'!$J$3:$J$98,$A5,'Alle ruter'!$AJ$3:$AJ$98,"&lt;="&amp;L$2)/2</f>
        <v>2235.0009268117201</v>
      </c>
      <c r="M5" s="3">
        <f>SUMIFS('Alle ruter'!$AC$3:$AC$98,'Alle ruter'!$Z$3:$Z$98,"H2",'Alle ruter'!$I$3:$I$98,$A5,'Alle ruter'!$AJ$3:$AJ$98,"&lt;="&amp;M$2)/2+SUMIFS('Alle ruter'!$AC$3:$AC$98,'Alle ruter'!$Z$3:$Z$98,"H2",'Alle ruter'!$J$3:$J$98,$A5,'Alle ruter'!$AJ$3:$AJ$98,"&lt;="&amp;M$2)/2</f>
        <v>2235.0009268117201</v>
      </c>
      <c r="N5" s="3">
        <f>SUMIFS('Alle ruter'!$AC$3:$AC$98,'Alle ruter'!$Z$3:$Z$98,"H2",'Alle ruter'!$I$3:$I$98,$A5,'Alle ruter'!$AJ$3:$AJ$98,"&lt;="&amp;N$2)/2+SUMIFS('Alle ruter'!$AC$3:$AC$98,'Alle ruter'!$Z$3:$Z$98,"H2",'Alle ruter'!$J$3:$J$98,$A5,'Alle ruter'!$AJ$3:$AJ$98,"&lt;="&amp;N$2)/2</f>
        <v>2235.0009268117201</v>
      </c>
      <c r="O5" s="3">
        <f>SUMIFS('Alle ruter'!$AC$3:$AC$98,'Alle ruter'!$Z$3:$Z$98,"H2",'Alle ruter'!$I$3:$I$98,$A5,'Alle ruter'!$AJ$3:$AJ$98,"&lt;="&amp;O$2)/2+SUMIFS('Alle ruter'!$AC$3:$AC$98,'Alle ruter'!$Z$3:$Z$98,"H2",'Alle ruter'!$J$3:$J$98,$A5,'Alle ruter'!$AJ$3:$AJ$98,"&lt;="&amp;O$2)/2</f>
        <v>2235.0009268117201</v>
      </c>
      <c r="P5" s="3">
        <f>SUMIFS('Alle ruter'!$AC$3:$AC$98,'Alle ruter'!$Z$3:$Z$98,"H2",'Alle ruter'!$I$3:$I$98,$A5,'Alle ruter'!$AJ$3:$AJ$98,"&lt;="&amp;P$2)/2+SUMIFS('Alle ruter'!$AC$3:$AC$98,'Alle ruter'!$Z$3:$Z$98,"H2",'Alle ruter'!$J$3:$J$98,$A5,'Alle ruter'!$AJ$3:$AJ$98,"&lt;="&amp;P$2)/2</f>
        <v>2235.0009268117201</v>
      </c>
      <c r="Q5" s="3">
        <f>SUMIFS('Alle ruter'!$AC$3:$AC$98,'Alle ruter'!$Z$3:$Z$98,"H2",'Alle ruter'!$I$3:$I$98,$A5,'Alle ruter'!$AJ$3:$AJ$98,"&lt;="&amp;Q$2)/2+SUMIFS('Alle ruter'!$AC$3:$AC$98,'Alle ruter'!$Z$3:$Z$98,"H2",'Alle ruter'!$J$3:$J$98,$A5,'Alle ruter'!$AJ$3:$AJ$98,"&lt;="&amp;Q$2)/2</f>
        <v>2235.0009268117201</v>
      </c>
      <c r="R5" s="3">
        <f>SUMIFS('Alle ruter'!$AC$3:$AC$98,'Alle ruter'!$Z$3:$Z$98,"H2",'Alle ruter'!$I$3:$I$98,$A5,'Alle ruter'!$AJ$3:$AJ$98,"&lt;="&amp;R$2)/2+SUMIFS('Alle ruter'!$AC$3:$AC$98,'Alle ruter'!$Z$3:$Z$98,"H2",'Alle ruter'!$J$3:$J$98,$A5,'Alle ruter'!$AJ$3:$AJ$98,"&lt;="&amp;R$2)/2</f>
        <v>2235.0009268117201</v>
      </c>
      <c r="S5" s="3">
        <f>SUMIFS('Alle ruter'!$AC$3:$AC$98,'Alle ruter'!$Z$3:$Z$98,"H2",'Alle ruter'!$I$3:$I$98,$A5,'Alle ruter'!$AJ$3:$AJ$98,"&lt;="&amp;S$2)/2+SUMIFS('Alle ruter'!$AC$3:$AC$98,'Alle ruter'!$Z$3:$Z$98,"H2",'Alle ruter'!$J$3:$J$98,$A5,'Alle ruter'!$AJ$3:$AJ$98,"&lt;="&amp;S$2)/2</f>
        <v>2235.0009268117201</v>
      </c>
      <c r="T5" s="3"/>
    </row>
    <row r="6" spans="1:20" x14ac:dyDescent="0.3">
      <c r="A6" t="s">
        <v>113</v>
      </c>
      <c r="B6" t="s">
        <v>15</v>
      </c>
      <c r="C6" s="3">
        <f>COUNTIF('Alle ruter'!$I$3:$I$98,'H2 pr endeplass'!A6)+COUNTIFS('Alle ruter'!$J$3:$J$98,'H2 pr endeplass'!A6,'Alle ruter'!$K$3:$K$98,"Nei")</f>
        <v>6</v>
      </c>
      <c r="D6" s="3">
        <f>COUNTIFS('Alle ruter'!$I$3:$I$98,'H2 pr endeplass'!A6,'Alle ruter'!$Z$3:$Z$98,"H2")+COUNTIFS('Alle ruter'!$J$3:$J$98,'H2 pr endeplass'!A6,'Alle ruter'!$K$3:$K$98,"Nei",'Alle ruter'!$Z$3:$Z$98,"H2")</f>
        <v>5</v>
      </c>
      <c r="E6">
        <v>0</v>
      </c>
      <c r="F6" s="3">
        <f>SUMIFS('Alle ruter'!$AC$3:$AC$98,'Alle ruter'!$Z$3:$Z$98,"H2",'Alle ruter'!$I$3:$I$98,$A6,'Alle ruter'!$AJ$3:$AJ$98,"&lt;="&amp;F$2)/2+SUMIFS('Alle ruter'!$AC$3:$AC$98,'Alle ruter'!$Z$3:$Z$98,"H2",'Alle ruter'!$J$3:$J$98,$A6,'Alle ruter'!$AJ$3:$AJ$98,"&lt;="&amp;F$2)/2</f>
        <v>939.31728392785385</v>
      </c>
      <c r="G6" s="3">
        <f>SUMIFS('Alle ruter'!$AC$3:$AC$98,'Alle ruter'!$Z$3:$Z$98,"H2",'Alle ruter'!$I$3:$I$98,$A6,'Alle ruter'!$AJ$3:$AJ$98,"&lt;="&amp;G$2)/2+SUMIFS('Alle ruter'!$AC$3:$AC$98,'Alle ruter'!$Z$3:$Z$98,"H2",'Alle ruter'!$J$3:$J$98,$A6,'Alle ruter'!$AJ$3:$AJ$98,"&lt;="&amp;G$2)/2</f>
        <v>939.31728392785385</v>
      </c>
      <c r="H6" s="3">
        <f>SUMIFS('Alle ruter'!$AC$3:$AC$98,'Alle ruter'!$Z$3:$Z$98,"H2",'Alle ruter'!$I$3:$I$98,$A6,'Alle ruter'!$AJ$3:$AJ$98,"&lt;="&amp;H$2)/2+SUMIFS('Alle ruter'!$AC$3:$AC$98,'Alle ruter'!$Z$3:$Z$98,"H2",'Alle ruter'!$J$3:$J$98,$A6,'Alle ruter'!$AJ$3:$AJ$98,"&lt;="&amp;H$2)/2</f>
        <v>939.31728392785385</v>
      </c>
      <c r="I6" s="3">
        <f>SUMIFS('Alle ruter'!$AC$3:$AC$98,'Alle ruter'!$Z$3:$Z$98,"H2",'Alle ruter'!$I$3:$I$98,$A6,'Alle ruter'!$AJ$3:$AJ$98,"&lt;="&amp;I$2)/2+SUMIFS('Alle ruter'!$AC$3:$AC$98,'Alle ruter'!$Z$3:$Z$98,"H2",'Alle ruter'!$J$3:$J$98,$A6,'Alle ruter'!$AJ$3:$AJ$98,"&lt;="&amp;I$2)/2</f>
        <v>939.31728392785385</v>
      </c>
      <c r="J6" s="3">
        <f>SUMIFS('Alle ruter'!$AC$3:$AC$98,'Alle ruter'!$Z$3:$Z$98,"H2",'Alle ruter'!$I$3:$I$98,$A6,'Alle ruter'!$AJ$3:$AJ$98,"&lt;="&amp;J$2)/2+SUMIFS('Alle ruter'!$AC$3:$AC$98,'Alle ruter'!$Z$3:$Z$98,"H2",'Alle ruter'!$J$3:$J$98,$A6,'Alle ruter'!$AJ$3:$AJ$98,"&lt;="&amp;J$2)/2</f>
        <v>939.31728392785385</v>
      </c>
      <c r="K6" s="3">
        <f>SUMIFS('Alle ruter'!$AC$3:$AC$98,'Alle ruter'!$Z$3:$Z$98,"H2",'Alle ruter'!$I$3:$I$98,$A6,'Alle ruter'!$AJ$3:$AJ$98,"&lt;="&amp;K$2)/2+SUMIFS('Alle ruter'!$AC$3:$AC$98,'Alle ruter'!$Z$3:$Z$98,"H2",'Alle ruter'!$J$3:$J$98,$A6,'Alle ruter'!$AJ$3:$AJ$98,"&lt;="&amp;K$2)/2</f>
        <v>2155.1776592073061</v>
      </c>
      <c r="L6" s="3">
        <f>SUMIFS('Alle ruter'!$AC$3:$AC$98,'Alle ruter'!$Z$3:$Z$98,"H2",'Alle ruter'!$I$3:$I$98,$A6,'Alle ruter'!$AJ$3:$AJ$98,"&lt;="&amp;L$2)/2+SUMIFS('Alle ruter'!$AC$3:$AC$98,'Alle ruter'!$Z$3:$Z$98,"H2",'Alle ruter'!$J$3:$J$98,$A6,'Alle ruter'!$AJ$3:$AJ$98,"&lt;="&amp;L$2)/2</f>
        <v>2155.1776592073061</v>
      </c>
      <c r="M6" s="3">
        <f>SUMIFS('Alle ruter'!$AC$3:$AC$98,'Alle ruter'!$Z$3:$Z$98,"H2",'Alle ruter'!$I$3:$I$98,$A6,'Alle ruter'!$AJ$3:$AJ$98,"&lt;="&amp;M$2)/2+SUMIFS('Alle ruter'!$AC$3:$AC$98,'Alle ruter'!$Z$3:$Z$98,"H2",'Alle ruter'!$J$3:$J$98,$A6,'Alle ruter'!$AJ$3:$AJ$98,"&lt;="&amp;M$2)/2</f>
        <v>2155.1776592073061</v>
      </c>
      <c r="N6" s="3">
        <f>SUMIFS('Alle ruter'!$AC$3:$AC$98,'Alle ruter'!$Z$3:$Z$98,"H2",'Alle ruter'!$I$3:$I$98,$A6,'Alle ruter'!$AJ$3:$AJ$98,"&lt;="&amp;N$2)/2+SUMIFS('Alle ruter'!$AC$3:$AC$98,'Alle ruter'!$Z$3:$Z$98,"H2",'Alle ruter'!$J$3:$J$98,$A6,'Alle ruter'!$AJ$3:$AJ$98,"&lt;="&amp;N$2)/2</f>
        <v>2155.1776592073061</v>
      </c>
      <c r="O6" s="3">
        <f>SUMIFS('Alle ruter'!$AC$3:$AC$98,'Alle ruter'!$Z$3:$Z$98,"H2",'Alle ruter'!$I$3:$I$98,$A6,'Alle ruter'!$AJ$3:$AJ$98,"&lt;="&amp;O$2)/2+SUMIFS('Alle ruter'!$AC$3:$AC$98,'Alle ruter'!$Z$3:$Z$98,"H2",'Alle ruter'!$J$3:$J$98,$A6,'Alle ruter'!$AJ$3:$AJ$98,"&lt;="&amp;O$2)/2</f>
        <v>2155.1776592073061</v>
      </c>
      <c r="P6" s="3">
        <f>SUMIFS('Alle ruter'!$AC$3:$AC$98,'Alle ruter'!$Z$3:$Z$98,"H2",'Alle ruter'!$I$3:$I$98,$A6,'Alle ruter'!$AJ$3:$AJ$98,"&lt;="&amp;P$2)/2+SUMIFS('Alle ruter'!$AC$3:$AC$98,'Alle ruter'!$Z$3:$Z$98,"H2",'Alle ruter'!$J$3:$J$98,$A6,'Alle ruter'!$AJ$3:$AJ$98,"&lt;="&amp;P$2)/2</f>
        <v>2155.1776592073061</v>
      </c>
      <c r="Q6" s="3">
        <f>SUMIFS('Alle ruter'!$AC$3:$AC$98,'Alle ruter'!$Z$3:$Z$98,"H2",'Alle ruter'!$I$3:$I$98,$A6,'Alle ruter'!$AJ$3:$AJ$98,"&lt;="&amp;Q$2)/2+SUMIFS('Alle ruter'!$AC$3:$AC$98,'Alle ruter'!$Z$3:$Z$98,"H2",'Alle ruter'!$J$3:$J$98,$A6,'Alle ruter'!$AJ$3:$AJ$98,"&lt;="&amp;Q$2)/2</f>
        <v>2155.1776592073061</v>
      </c>
      <c r="R6" s="3">
        <f>SUMIFS('Alle ruter'!$AC$3:$AC$98,'Alle ruter'!$Z$3:$Z$98,"H2",'Alle ruter'!$I$3:$I$98,$A6,'Alle ruter'!$AJ$3:$AJ$98,"&lt;="&amp;R$2)/2+SUMIFS('Alle ruter'!$AC$3:$AC$98,'Alle ruter'!$Z$3:$Z$98,"H2",'Alle ruter'!$J$3:$J$98,$A6,'Alle ruter'!$AJ$3:$AJ$98,"&lt;="&amp;R$2)/2</f>
        <v>2155.1776592073061</v>
      </c>
      <c r="S6" s="3">
        <f>SUMIFS('Alle ruter'!$AC$3:$AC$98,'Alle ruter'!$Z$3:$Z$98,"H2",'Alle ruter'!$I$3:$I$98,$A6,'Alle ruter'!$AJ$3:$AJ$98,"&lt;="&amp;S$2)/2+SUMIFS('Alle ruter'!$AC$3:$AC$98,'Alle ruter'!$Z$3:$Z$98,"H2",'Alle ruter'!$J$3:$J$98,$A6,'Alle ruter'!$AJ$3:$AJ$98,"&lt;="&amp;S$2)/2</f>
        <v>2155.1776592073061</v>
      </c>
      <c r="T6" s="3"/>
    </row>
    <row r="7" spans="1:20" x14ac:dyDescent="0.3">
      <c r="A7" t="s">
        <v>107</v>
      </c>
      <c r="B7" t="s">
        <v>388</v>
      </c>
      <c r="C7" s="3">
        <f>COUNTIF('Alle ruter'!$I$3:$I$98,'H2 pr endeplass'!A7)+COUNTIFS('Alle ruter'!$J$3:$J$98,'H2 pr endeplass'!A7,'Alle ruter'!$K$3:$K$98,"Nei")</f>
        <v>2</v>
      </c>
      <c r="D7" s="3">
        <f>COUNTIFS('Alle ruter'!$I$3:$I$98,'H2 pr endeplass'!A7,'Alle ruter'!$Z$3:$Z$98,"H2")+COUNTIFS('Alle ruter'!$J$3:$J$98,'H2 pr endeplass'!A7,'Alle ruter'!$K$3:$K$98,"Nei",'Alle ruter'!$Z$3:$Z$98,"H2")</f>
        <v>2</v>
      </c>
      <c r="E7">
        <v>0</v>
      </c>
      <c r="F7" s="3">
        <f>SUMIFS('Alle ruter'!$AC$3:$AC$98,'Alle ruter'!$Z$3:$Z$98,"H2",'Alle ruter'!$I$3:$I$98,$A7,'Alle ruter'!$AJ$3:$AJ$98,"&lt;="&amp;F$2)/2+SUMIFS('Alle ruter'!$AC$3:$AC$98,'Alle ruter'!$Z$3:$Z$98,"H2",'Alle ruter'!$J$3:$J$98,$A7,'Alle ruter'!$AJ$3:$AJ$98,"&lt;="&amp;F$2)/2</f>
        <v>0</v>
      </c>
      <c r="G7" s="3">
        <f>SUMIFS('Alle ruter'!$AC$3:$AC$98,'Alle ruter'!$Z$3:$Z$98,"H2",'Alle ruter'!$I$3:$I$98,$A7,'Alle ruter'!$AJ$3:$AJ$98,"&lt;="&amp;G$2)/2+SUMIFS('Alle ruter'!$AC$3:$AC$98,'Alle ruter'!$Z$3:$Z$98,"H2",'Alle ruter'!$J$3:$J$98,$A7,'Alle ruter'!$AJ$3:$AJ$98,"&lt;="&amp;G$2)/2</f>
        <v>0</v>
      </c>
      <c r="H7" s="3">
        <f>SUMIFS('Alle ruter'!$AC$3:$AC$98,'Alle ruter'!$Z$3:$Z$98,"H2",'Alle ruter'!$I$3:$I$98,$A7,'Alle ruter'!$AJ$3:$AJ$98,"&lt;="&amp;H$2)/2+SUMIFS('Alle ruter'!$AC$3:$AC$98,'Alle ruter'!$Z$3:$Z$98,"H2",'Alle ruter'!$J$3:$J$98,$A7,'Alle ruter'!$AJ$3:$AJ$98,"&lt;="&amp;H$2)/2</f>
        <v>1354.9695337260273</v>
      </c>
      <c r="I7" s="3">
        <f>SUMIFS('Alle ruter'!$AC$3:$AC$98,'Alle ruter'!$Z$3:$Z$98,"H2",'Alle ruter'!$I$3:$I$98,$A7,'Alle ruter'!$AJ$3:$AJ$98,"&lt;="&amp;I$2)/2+SUMIFS('Alle ruter'!$AC$3:$AC$98,'Alle ruter'!$Z$3:$Z$98,"H2",'Alle ruter'!$J$3:$J$98,$A7,'Alle ruter'!$AJ$3:$AJ$98,"&lt;="&amp;I$2)/2</f>
        <v>1354.9695337260273</v>
      </c>
      <c r="J7" s="3">
        <f>SUMIFS('Alle ruter'!$AC$3:$AC$98,'Alle ruter'!$Z$3:$Z$98,"H2",'Alle ruter'!$I$3:$I$98,$A7,'Alle ruter'!$AJ$3:$AJ$98,"&lt;="&amp;J$2)/2+SUMIFS('Alle ruter'!$AC$3:$AC$98,'Alle ruter'!$Z$3:$Z$98,"H2",'Alle ruter'!$J$3:$J$98,$A7,'Alle ruter'!$AJ$3:$AJ$98,"&lt;="&amp;J$2)/2</f>
        <v>1354.9695337260273</v>
      </c>
      <c r="K7" s="3">
        <f>SUMIFS('Alle ruter'!$AC$3:$AC$98,'Alle ruter'!$Z$3:$Z$98,"H2",'Alle ruter'!$I$3:$I$98,$A7,'Alle ruter'!$AJ$3:$AJ$98,"&lt;="&amp;K$2)/2+SUMIFS('Alle ruter'!$AC$3:$AC$98,'Alle ruter'!$Z$3:$Z$98,"H2",'Alle ruter'!$J$3:$J$98,$A7,'Alle ruter'!$AJ$3:$AJ$98,"&lt;="&amp;K$2)/2</f>
        <v>1354.9695337260273</v>
      </c>
      <c r="L7" s="3">
        <f>SUMIFS('Alle ruter'!$AC$3:$AC$98,'Alle ruter'!$Z$3:$Z$98,"H2",'Alle ruter'!$I$3:$I$98,$A7,'Alle ruter'!$AJ$3:$AJ$98,"&lt;="&amp;L$2)/2+SUMIFS('Alle ruter'!$AC$3:$AC$98,'Alle ruter'!$Z$3:$Z$98,"H2",'Alle ruter'!$J$3:$J$98,$A7,'Alle ruter'!$AJ$3:$AJ$98,"&lt;="&amp;L$2)/2</f>
        <v>1354.9695337260273</v>
      </c>
      <c r="M7" s="3">
        <f>SUMIFS('Alle ruter'!$AC$3:$AC$98,'Alle ruter'!$Z$3:$Z$98,"H2",'Alle ruter'!$I$3:$I$98,$A7,'Alle ruter'!$AJ$3:$AJ$98,"&lt;="&amp;M$2)/2+SUMIFS('Alle ruter'!$AC$3:$AC$98,'Alle ruter'!$Z$3:$Z$98,"H2",'Alle ruter'!$J$3:$J$98,$A7,'Alle ruter'!$AJ$3:$AJ$98,"&lt;="&amp;M$2)/2</f>
        <v>1354.9695337260273</v>
      </c>
      <c r="N7" s="3">
        <f>SUMIFS('Alle ruter'!$AC$3:$AC$98,'Alle ruter'!$Z$3:$Z$98,"H2",'Alle ruter'!$I$3:$I$98,$A7,'Alle ruter'!$AJ$3:$AJ$98,"&lt;="&amp;N$2)/2+SUMIFS('Alle ruter'!$AC$3:$AC$98,'Alle ruter'!$Z$3:$Z$98,"H2",'Alle ruter'!$J$3:$J$98,$A7,'Alle ruter'!$AJ$3:$AJ$98,"&lt;="&amp;N$2)/2</f>
        <v>1354.9695337260273</v>
      </c>
      <c r="O7" s="3">
        <f>SUMIFS('Alle ruter'!$AC$3:$AC$98,'Alle ruter'!$Z$3:$Z$98,"H2",'Alle ruter'!$I$3:$I$98,$A7,'Alle ruter'!$AJ$3:$AJ$98,"&lt;="&amp;O$2)/2+SUMIFS('Alle ruter'!$AC$3:$AC$98,'Alle ruter'!$Z$3:$Z$98,"H2",'Alle ruter'!$J$3:$J$98,$A7,'Alle ruter'!$AJ$3:$AJ$98,"&lt;="&amp;O$2)/2</f>
        <v>1354.9695337260273</v>
      </c>
      <c r="P7" s="3">
        <f>SUMIFS('Alle ruter'!$AC$3:$AC$98,'Alle ruter'!$Z$3:$Z$98,"H2",'Alle ruter'!$I$3:$I$98,$A7,'Alle ruter'!$AJ$3:$AJ$98,"&lt;="&amp;P$2)/2+SUMIFS('Alle ruter'!$AC$3:$AC$98,'Alle ruter'!$Z$3:$Z$98,"H2",'Alle ruter'!$J$3:$J$98,$A7,'Alle ruter'!$AJ$3:$AJ$98,"&lt;="&amp;P$2)/2</f>
        <v>1354.9695337260273</v>
      </c>
      <c r="Q7" s="3">
        <f>SUMIFS('Alle ruter'!$AC$3:$AC$98,'Alle ruter'!$Z$3:$Z$98,"H2",'Alle ruter'!$I$3:$I$98,$A7,'Alle ruter'!$AJ$3:$AJ$98,"&lt;="&amp;Q$2)/2+SUMIFS('Alle ruter'!$AC$3:$AC$98,'Alle ruter'!$Z$3:$Z$98,"H2",'Alle ruter'!$J$3:$J$98,$A7,'Alle ruter'!$AJ$3:$AJ$98,"&lt;="&amp;Q$2)/2</f>
        <v>1354.9695337260273</v>
      </c>
      <c r="R7" s="3">
        <f>SUMIFS('Alle ruter'!$AC$3:$AC$98,'Alle ruter'!$Z$3:$Z$98,"H2",'Alle ruter'!$I$3:$I$98,$A7,'Alle ruter'!$AJ$3:$AJ$98,"&lt;="&amp;R$2)/2+SUMIFS('Alle ruter'!$AC$3:$AC$98,'Alle ruter'!$Z$3:$Z$98,"H2",'Alle ruter'!$J$3:$J$98,$A7,'Alle ruter'!$AJ$3:$AJ$98,"&lt;="&amp;R$2)/2</f>
        <v>1354.9695337260273</v>
      </c>
      <c r="S7" s="3">
        <f>SUMIFS('Alle ruter'!$AC$3:$AC$98,'Alle ruter'!$Z$3:$Z$98,"H2",'Alle ruter'!$I$3:$I$98,$A7,'Alle ruter'!$AJ$3:$AJ$98,"&lt;="&amp;S$2)/2+SUMIFS('Alle ruter'!$AC$3:$AC$98,'Alle ruter'!$Z$3:$Z$98,"H2",'Alle ruter'!$J$3:$J$98,$A7,'Alle ruter'!$AJ$3:$AJ$98,"&lt;="&amp;S$2)/2</f>
        <v>1354.9695337260273</v>
      </c>
      <c r="T7" s="3"/>
    </row>
    <row r="8" spans="1:20" x14ac:dyDescent="0.3">
      <c r="A8" t="s">
        <v>109</v>
      </c>
      <c r="B8" t="s">
        <v>19</v>
      </c>
      <c r="C8" s="3">
        <f>COUNTIF('Alle ruter'!$I$3:$I$98,'H2 pr endeplass'!A8)+COUNTIFS('Alle ruter'!$J$3:$J$98,'H2 pr endeplass'!A8,'Alle ruter'!$K$3:$K$98,"Nei")</f>
        <v>3</v>
      </c>
      <c r="D8" s="3">
        <f>COUNTIFS('Alle ruter'!$I$3:$I$98,'H2 pr endeplass'!A8,'Alle ruter'!$Z$3:$Z$98,"H2")+COUNTIFS('Alle ruter'!$J$3:$J$98,'H2 pr endeplass'!A8,'Alle ruter'!$K$3:$K$98,"Nei",'Alle ruter'!$Z$3:$Z$98,"H2")</f>
        <v>2</v>
      </c>
      <c r="E8">
        <v>0</v>
      </c>
      <c r="F8" s="3">
        <f>SUMIFS('Alle ruter'!$AC$3:$AC$98,'Alle ruter'!$Z$3:$Z$98,"H2",'Alle ruter'!$I$3:$I$98,$A8,'Alle ruter'!$AJ$3:$AJ$98,"&lt;="&amp;F$2)/2+SUMIFS('Alle ruter'!$AC$3:$AC$98,'Alle ruter'!$Z$3:$Z$98,"H2",'Alle ruter'!$J$3:$J$98,$A8,'Alle ruter'!$AJ$3:$AJ$98,"&lt;="&amp;F$2)/2</f>
        <v>0</v>
      </c>
      <c r="G8" s="3">
        <f>SUMIFS('Alle ruter'!$AC$3:$AC$98,'Alle ruter'!$Z$3:$Z$98,"H2",'Alle ruter'!$I$3:$I$98,$A8,'Alle ruter'!$AJ$3:$AJ$98,"&lt;="&amp;G$2)/2+SUMIFS('Alle ruter'!$AC$3:$AC$98,'Alle ruter'!$Z$3:$Z$98,"H2",'Alle ruter'!$J$3:$J$98,$A8,'Alle ruter'!$AJ$3:$AJ$98,"&lt;="&amp;G$2)/2</f>
        <v>1253.1663594547947</v>
      </c>
      <c r="H8" s="3">
        <f>SUMIFS('Alle ruter'!$AC$3:$AC$98,'Alle ruter'!$Z$3:$Z$98,"H2",'Alle ruter'!$I$3:$I$98,$A8,'Alle ruter'!$AJ$3:$AJ$98,"&lt;="&amp;H$2)/2+SUMIFS('Alle ruter'!$AC$3:$AC$98,'Alle ruter'!$Z$3:$Z$98,"H2",'Alle ruter'!$J$3:$J$98,$A8,'Alle ruter'!$AJ$3:$AJ$98,"&lt;="&amp;H$2)/2</f>
        <v>1253.1663594547947</v>
      </c>
      <c r="I8" s="3">
        <f>SUMIFS('Alle ruter'!$AC$3:$AC$98,'Alle ruter'!$Z$3:$Z$98,"H2",'Alle ruter'!$I$3:$I$98,$A8,'Alle ruter'!$AJ$3:$AJ$98,"&lt;="&amp;I$2)/2+SUMIFS('Alle ruter'!$AC$3:$AC$98,'Alle ruter'!$Z$3:$Z$98,"H2",'Alle ruter'!$J$3:$J$98,$A8,'Alle ruter'!$AJ$3:$AJ$98,"&lt;="&amp;I$2)/2</f>
        <v>1253.1663594547947</v>
      </c>
      <c r="J8" s="3">
        <f>SUMIFS('Alle ruter'!$AC$3:$AC$98,'Alle ruter'!$Z$3:$Z$98,"H2",'Alle ruter'!$I$3:$I$98,$A8,'Alle ruter'!$AJ$3:$AJ$98,"&lt;="&amp;J$2)/2+SUMIFS('Alle ruter'!$AC$3:$AC$98,'Alle ruter'!$Z$3:$Z$98,"H2",'Alle ruter'!$J$3:$J$98,$A8,'Alle ruter'!$AJ$3:$AJ$98,"&lt;="&amp;J$2)/2</f>
        <v>1253.1663594547947</v>
      </c>
      <c r="K8" s="3">
        <f>SUMIFS('Alle ruter'!$AC$3:$AC$98,'Alle ruter'!$Z$3:$Z$98,"H2",'Alle ruter'!$I$3:$I$98,$A8,'Alle ruter'!$AJ$3:$AJ$98,"&lt;="&amp;K$2)/2+SUMIFS('Alle ruter'!$AC$3:$AC$98,'Alle ruter'!$Z$3:$Z$98,"H2",'Alle ruter'!$J$3:$J$98,$A8,'Alle ruter'!$AJ$3:$AJ$98,"&lt;="&amp;K$2)/2</f>
        <v>1253.1663594547947</v>
      </c>
      <c r="L8" s="3">
        <f>SUMIFS('Alle ruter'!$AC$3:$AC$98,'Alle ruter'!$Z$3:$Z$98,"H2",'Alle ruter'!$I$3:$I$98,$A8,'Alle ruter'!$AJ$3:$AJ$98,"&lt;="&amp;L$2)/2+SUMIFS('Alle ruter'!$AC$3:$AC$98,'Alle ruter'!$Z$3:$Z$98,"H2",'Alle ruter'!$J$3:$J$98,$A8,'Alle ruter'!$AJ$3:$AJ$98,"&lt;="&amp;L$2)/2</f>
        <v>1253.1663594547947</v>
      </c>
      <c r="M8" s="3">
        <f>SUMIFS('Alle ruter'!$AC$3:$AC$98,'Alle ruter'!$Z$3:$Z$98,"H2",'Alle ruter'!$I$3:$I$98,$A8,'Alle ruter'!$AJ$3:$AJ$98,"&lt;="&amp;M$2)/2+SUMIFS('Alle ruter'!$AC$3:$AC$98,'Alle ruter'!$Z$3:$Z$98,"H2",'Alle ruter'!$J$3:$J$98,$A8,'Alle ruter'!$AJ$3:$AJ$98,"&lt;="&amp;M$2)/2</f>
        <v>1253.1663594547947</v>
      </c>
      <c r="N8" s="3">
        <f>SUMIFS('Alle ruter'!$AC$3:$AC$98,'Alle ruter'!$Z$3:$Z$98,"H2",'Alle ruter'!$I$3:$I$98,$A8,'Alle ruter'!$AJ$3:$AJ$98,"&lt;="&amp;N$2)/2+SUMIFS('Alle ruter'!$AC$3:$AC$98,'Alle ruter'!$Z$3:$Z$98,"H2",'Alle ruter'!$J$3:$J$98,$A8,'Alle ruter'!$AJ$3:$AJ$98,"&lt;="&amp;N$2)/2</f>
        <v>1253.1663594547947</v>
      </c>
      <c r="O8" s="3">
        <f>SUMIFS('Alle ruter'!$AC$3:$AC$98,'Alle ruter'!$Z$3:$Z$98,"H2",'Alle ruter'!$I$3:$I$98,$A8,'Alle ruter'!$AJ$3:$AJ$98,"&lt;="&amp;O$2)/2+SUMIFS('Alle ruter'!$AC$3:$AC$98,'Alle ruter'!$Z$3:$Z$98,"H2",'Alle ruter'!$J$3:$J$98,$A8,'Alle ruter'!$AJ$3:$AJ$98,"&lt;="&amp;O$2)/2</f>
        <v>1253.1663594547947</v>
      </c>
      <c r="P8" s="3">
        <f>SUMIFS('Alle ruter'!$AC$3:$AC$98,'Alle ruter'!$Z$3:$Z$98,"H2",'Alle ruter'!$I$3:$I$98,$A8,'Alle ruter'!$AJ$3:$AJ$98,"&lt;="&amp;P$2)/2+SUMIFS('Alle ruter'!$AC$3:$AC$98,'Alle ruter'!$Z$3:$Z$98,"H2",'Alle ruter'!$J$3:$J$98,$A8,'Alle ruter'!$AJ$3:$AJ$98,"&lt;="&amp;P$2)/2</f>
        <v>1253.1663594547947</v>
      </c>
      <c r="Q8" s="3">
        <f>SUMIFS('Alle ruter'!$AC$3:$AC$98,'Alle ruter'!$Z$3:$Z$98,"H2",'Alle ruter'!$I$3:$I$98,$A8,'Alle ruter'!$AJ$3:$AJ$98,"&lt;="&amp;Q$2)/2+SUMIFS('Alle ruter'!$AC$3:$AC$98,'Alle ruter'!$Z$3:$Z$98,"H2",'Alle ruter'!$J$3:$J$98,$A8,'Alle ruter'!$AJ$3:$AJ$98,"&lt;="&amp;Q$2)/2</f>
        <v>1253.1663594547947</v>
      </c>
      <c r="R8" s="3">
        <f>SUMIFS('Alle ruter'!$AC$3:$AC$98,'Alle ruter'!$Z$3:$Z$98,"H2",'Alle ruter'!$I$3:$I$98,$A8,'Alle ruter'!$AJ$3:$AJ$98,"&lt;="&amp;R$2)/2+SUMIFS('Alle ruter'!$AC$3:$AC$98,'Alle ruter'!$Z$3:$Z$98,"H2",'Alle ruter'!$J$3:$J$98,$A8,'Alle ruter'!$AJ$3:$AJ$98,"&lt;="&amp;R$2)/2</f>
        <v>1253.1663594547947</v>
      </c>
      <c r="S8" s="3">
        <f>SUMIFS('Alle ruter'!$AC$3:$AC$98,'Alle ruter'!$Z$3:$Z$98,"H2",'Alle ruter'!$I$3:$I$98,$A8,'Alle ruter'!$AJ$3:$AJ$98,"&lt;="&amp;S$2)/2+SUMIFS('Alle ruter'!$AC$3:$AC$98,'Alle ruter'!$Z$3:$Z$98,"H2",'Alle ruter'!$J$3:$J$98,$A8,'Alle ruter'!$AJ$3:$AJ$98,"&lt;="&amp;S$2)/2</f>
        <v>1253.1663594547947</v>
      </c>
      <c r="T8" s="3"/>
    </row>
    <row r="9" spans="1:20" x14ac:dyDescent="0.3">
      <c r="A9" t="s">
        <v>138</v>
      </c>
      <c r="B9" t="s">
        <v>19</v>
      </c>
      <c r="C9" s="3">
        <f>COUNTIF('Alle ruter'!$I$3:$I$98,'H2 pr endeplass'!A11)+COUNTIFS('Alle ruter'!$J$3:$J$98,'H2 pr endeplass'!A11,'Alle ruter'!$K$3:$K$98,"Nei")</f>
        <v>1</v>
      </c>
      <c r="D9" s="3">
        <f>COUNTIFS('Alle ruter'!$I$3:$I$98,'H2 pr endeplass'!A11,'Alle ruter'!$Z$3:$Z$98,"H2")+COUNTIFS('Alle ruter'!$J$3:$J$98,'H2 pr endeplass'!A11,'Alle ruter'!$K$3:$K$98,"Nei",'Alle ruter'!$Z$3:$Z$98,"H2")</f>
        <v>1</v>
      </c>
      <c r="E9">
        <v>0</v>
      </c>
      <c r="F9" s="3">
        <f>SUMIFS('Alle ruter'!$AC$3:$AC$98,'Alle ruter'!$Z$3:$Z$98,"H2",'Alle ruter'!$I$3:$I$98,$A9,'Alle ruter'!$AJ$3:$AJ$98,"&lt;="&amp;F$2)/2+SUMIFS('Alle ruter'!$AC$3:$AC$98,'Alle ruter'!$Z$3:$Z$98,"H2",'Alle ruter'!$J$3:$J$98,$A9,'Alle ruter'!$AJ$3:$AJ$98,"&lt;="&amp;F$2)/2</f>
        <v>0</v>
      </c>
      <c r="G9" s="3">
        <f>SUMIFS('Alle ruter'!$AC$3:$AC$98,'Alle ruter'!$Z$3:$Z$98,"H2",'Alle ruter'!$I$3:$I$98,$A9,'Alle ruter'!$AJ$3:$AJ$98,"&lt;="&amp;G$2)/2+SUMIFS('Alle ruter'!$AC$3:$AC$98,'Alle ruter'!$Z$3:$Z$98,"H2",'Alle ruter'!$J$3:$J$98,$A9,'Alle ruter'!$AJ$3:$AJ$98,"&lt;="&amp;G$2)/2</f>
        <v>1117.9038864054794</v>
      </c>
      <c r="H9" s="3">
        <f>SUMIFS('Alle ruter'!$AC$3:$AC$98,'Alle ruter'!$Z$3:$Z$98,"H2",'Alle ruter'!$I$3:$I$98,$A9,'Alle ruter'!$AJ$3:$AJ$98,"&lt;="&amp;H$2)/2+SUMIFS('Alle ruter'!$AC$3:$AC$98,'Alle ruter'!$Z$3:$Z$98,"H2",'Alle ruter'!$J$3:$J$98,$A9,'Alle ruter'!$AJ$3:$AJ$98,"&lt;="&amp;H$2)/2</f>
        <v>1117.9038864054794</v>
      </c>
      <c r="I9" s="3">
        <f>SUMIFS('Alle ruter'!$AC$3:$AC$98,'Alle ruter'!$Z$3:$Z$98,"H2",'Alle ruter'!$I$3:$I$98,$A9,'Alle ruter'!$AJ$3:$AJ$98,"&lt;="&amp;I$2)/2+SUMIFS('Alle ruter'!$AC$3:$AC$98,'Alle ruter'!$Z$3:$Z$98,"H2",'Alle ruter'!$J$3:$J$98,$A9,'Alle ruter'!$AJ$3:$AJ$98,"&lt;="&amp;I$2)/2</f>
        <v>1117.9038864054794</v>
      </c>
      <c r="J9" s="3">
        <f>SUMIFS('Alle ruter'!$AC$3:$AC$98,'Alle ruter'!$Z$3:$Z$98,"H2",'Alle ruter'!$I$3:$I$98,$A9,'Alle ruter'!$AJ$3:$AJ$98,"&lt;="&amp;J$2)/2+SUMIFS('Alle ruter'!$AC$3:$AC$98,'Alle ruter'!$Z$3:$Z$98,"H2",'Alle ruter'!$J$3:$J$98,$A9,'Alle ruter'!$AJ$3:$AJ$98,"&lt;="&amp;J$2)/2</f>
        <v>1117.9038864054794</v>
      </c>
      <c r="K9" s="3">
        <f>SUMIFS('Alle ruter'!$AC$3:$AC$98,'Alle ruter'!$Z$3:$Z$98,"H2",'Alle ruter'!$I$3:$I$98,$A9,'Alle ruter'!$AJ$3:$AJ$98,"&lt;="&amp;K$2)/2+SUMIFS('Alle ruter'!$AC$3:$AC$98,'Alle ruter'!$Z$3:$Z$98,"H2",'Alle ruter'!$J$3:$J$98,$A9,'Alle ruter'!$AJ$3:$AJ$98,"&lt;="&amp;K$2)/2</f>
        <v>1117.9038864054794</v>
      </c>
      <c r="L9" s="3">
        <f>SUMIFS('Alle ruter'!$AC$3:$AC$98,'Alle ruter'!$Z$3:$Z$98,"H2",'Alle ruter'!$I$3:$I$98,$A9,'Alle ruter'!$AJ$3:$AJ$98,"&lt;="&amp;L$2)/2+SUMIFS('Alle ruter'!$AC$3:$AC$98,'Alle ruter'!$Z$3:$Z$98,"H2",'Alle ruter'!$J$3:$J$98,$A9,'Alle ruter'!$AJ$3:$AJ$98,"&lt;="&amp;L$2)/2</f>
        <v>1117.9038864054794</v>
      </c>
      <c r="M9" s="3">
        <f>SUMIFS('Alle ruter'!$AC$3:$AC$98,'Alle ruter'!$Z$3:$Z$98,"H2",'Alle ruter'!$I$3:$I$98,$A9,'Alle ruter'!$AJ$3:$AJ$98,"&lt;="&amp;M$2)/2+SUMIFS('Alle ruter'!$AC$3:$AC$98,'Alle ruter'!$Z$3:$Z$98,"H2",'Alle ruter'!$J$3:$J$98,$A9,'Alle ruter'!$AJ$3:$AJ$98,"&lt;="&amp;M$2)/2</f>
        <v>1117.9038864054794</v>
      </c>
      <c r="N9" s="3">
        <f>SUMIFS('Alle ruter'!$AC$3:$AC$98,'Alle ruter'!$Z$3:$Z$98,"H2",'Alle ruter'!$I$3:$I$98,$A9,'Alle ruter'!$AJ$3:$AJ$98,"&lt;="&amp;N$2)/2+SUMIFS('Alle ruter'!$AC$3:$AC$98,'Alle ruter'!$Z$3:$Z$98,"H2",'Alle ruter'!$J$3:$J$98,$A9,'Alle ruter'!$AJ$3:$AJ$98,"&lt;="&amp;N$2)/2</f>
        <v>1117.9038864054794</v>
      </c>
      <c r="O9" s="3">
        <f>SUMIFS('Alle ruter'!$AC$3:$AC$98,'Alle ruter'!$Z$3:$Z$98,"H2",'Alle ruter'!$I$3:$I$98,$A9,'Alle ruter'!$AJ$3:$AJ$98,"&lt;="&amp;O$2)/2+SUMIFS('Alle ruter'!$AC$3:$AC$98,'Alle ruter'!$Z$3:$Z$98,"H2",'Alle ruter'!$J$3:$J$98,$A9,'Alle ruter'!$AJ$3:$AJ$98,"&lt;="&amp;O$2)/2</f>
        <v>1117.9038864054794</v>
      </c>
      <c r="P9" s="3">
        <f>SUMIFS('Alle ruter'!$AC$3:$AC$98,'Alle ruter'!$Z$3:$Z$98,"H2",'Alle ruter'!$I$3:$I$98,$A9,'Alle ruter'!$AJ$3:$AJ$98,"&lt;="&amp;P$2)/2+SUMIFS('Alle ruter'!$AC$3:$AC$98,'Alle ruter'!$Z$3:$Z$98,"H2",'Alle ruter'!$J$3:$J$98,$A9,'Alle ruter'!$AJ$3:$AJ$98,"&lt;="&amp;P$2)/2</f>
        <v>1117.9038864054794</v>
      </c>
      <c r="Q9" s="3">
        <f>SUMIFS('Alle ruter'!$AC$3:$AC$98,'Alle ruter'!$Z$3:$Z$98,"H2",'Alle ruter'!$I$3:$I$98,$A9,'Alle ruter'!$AJ$3:$AJ$98,"&lt;="&amp;Q$2)/2+SUMIFS('Alle ruter'!$AC$3:$AC$98,'Alle ruter'!$Z$3:$Z$98,"H2",'Alle ruter'!$J$3:$J$98,$A9,'Alle ruter'!$AJ$3:$AJ$98,"&lt;="&amp;Q$2)/2</f>
        <v>1117.9038864054794</v>
      </c>
      <c r="R9" s="3">
        <f>SUMIFS('Alle ruter'!$AC$3:$AC$98,'Alle ruter'!$Z$3:$Z$98,"H2",'Alle ruter'!$I$3:$I$98,$A9,'Alle ruter'!$AJ$3:$AJ$98,"&lt;="&amp;R$2)/2+SUMIFS('Alle ruter'!$AC$3:$AC$98,'Alle ruter'!$Z$3:$Z$98,"H2",'Alle ruter'!$J$3:$J$98,$A9,'Alle ruter'!$AJ$3:$AJ$98,"&lt;="&amp;R$2)/2</f>
        <v>1117.9038864054794</v>
      </c>
      <c r="S9" s="3">
        <f>SUMIFS('Alle ruter'!$AC$3:$AC$98,'Alle ruter'!$Z$3:$Z$98,"H2",'Alle ruter'!$I$3:$I$98,$A9,'Alle ruter'!$AJ$3:$AJ$98,"&lt;="&amp;S$2)/2+SUMIFS('Alle ruter'!$AC$3:$AC$98,'Alle ruter'!$Z$3:$Z$98,"H2",'Alle ruter'!$J$3:$J$98,$A9,'Alle ruter'!$AJ$3:$AJ$98,"&lt;="&amp;S$2)/2</f>
        <v>1117.9038864054794</v>
      </c>
      <c r="T9" s="3"/>
    </row>
    <row r="10" spans="1:20" x14ac:dyDescent="0.3">
      <c r="A10" t="s">
        <v>106</v>
      </c>
      <c r="B10" t="s">
        <v>388</v>
      </c>
      <c r="C10" s="3">
        <f>COUNTIF('Alle ruter'!$I$3:$I$98,'H2 pr endeplass'!A9)+COUNTIFS('Alle ruter'!$J$3:$J$98,'H2 pr endeplass'!A9,'Alle ruter'!$K$3:$K$98,"Nei")</f>
        <v>1</v>
      </c>
      <c r="D10" s="3">
        <f>COUNTIFS('Alle ruter'!$I$3:$I$98,'H2 pr endeplass'!A9,'Alle ruter'!$Z$3:$Z$98,"H2")+COUNTIFS('Alle ruter'!$J$3:$J$98,'H2 pr endeplass'!A9,'Alle ruter'!$K$3:$K$98,"Nei",'Alle ruter'!$Z$3:$Z$98,"H2")</f>
        <v>1</v>
      </c>
      <c r="E10">
        <v>0</v>
      </c>
      <c r="F10" s="3">
        <f>SUMIFS('Alle ruter'!$AC$3:$AC$98,'Alle ruter'!$Z$3:$Z$98,"H2",'Alle ruter'!$I$3:$I$98,$A10,'Alle ruter'!$AJ$3:$AJ$98,"&lt;="&amp;F$2)/2+SUMIFS('Alle ruter'!$AC$3:$AC$98,'Alle ruter'!$Z$3:$Z$98,"H2",'Alle ruter'!$J$3:$J$98,$A10,'Alle ruter'!$AJ$3:$AJ$98,"&lt;="&amp;F$2)/2</f>
        <v>1055.7192836666666</v>
      </c>
      <c r="G10" s="3">
        <f>SUMIFS('Alle ruter'!$AC$3:$AC$98,'Alle ruter'!$Z$3:$Z$98,"H2",'Alle ruter'!$I$3:$I$98,$A10,'Alle ruter'!$AJ$3:$AJ$98,"&lt;="&amp;G$2)/2+SUMIFS('Alle ruter'!$AC$3:$AC$98,'Alle ruter'!$Z$3:$Z$98,"H2",'Alle ruter'!$J$3:$J$98,$A10,'Alle ruter'!$AJ$3:$AJ$98,"&lt;="&amp;G$2)/2</f>
        <v>1055.7192836666666</v>
      </c>
      <c r="H10" s="3">
        <f>SUMIFS('Alle ruter'!$AC$3:$AC$98,'Alle ruter'!$Z$3:$Z$98,"H2",'Alle ruter'!$I$3:$I$98,$A10,'Alle ruter'!$AJ$3:$AJ$98,"&lt;="&amp;H$2)/2+SUMIFS('Alle ruter'!$AC$3:$AC$98,'Alle ruter'!$Z$3:$Z$98,"H2",'Alle ruter'!$J$3:$J$98,$A10,'Alle ruter'!$AJ$3:$AJ$98,"&lt;="&amp;H$2)/2</f>
        <v>1112.4544611872145</v>
      </c>
      <c r="I10" s="3">
        <f>SUMIFS('Alle ruter'!$AC$3:$AC$98,'Alle ruter'!$Z$3:$Z$98,"H2",'Alle ruter'!$I$3:$I$98,$A10,'Alle ruter'!$AJ$3:$AJ$98,"&lt;="&amp;I$2)/2+SUMIFS('Alle ruter'!$AC$3:$AC$98,'Alle ruter'!$Z$3:$Z$98,"H2",'Alle ruter'!$J$3:$J$98,$A10,'Alle ruter'!$AJ$3:$AJ$98,"&lt;="&amp;I$2)/2</f>
        <v>1112.4544611872145</v>
      </c>
      <c r="J10" s="3">
        <f>SUMIFS('Alle ruter'!$AC$3:$AC$98,'Alle ruter'!$Z$3:$Z$98,"H2",'Alle ruter'!$I$3:$I$98,$A10,'Alle ruter'!$AJ$3:$AJ$98,"&lt;="&amp;J$2)/2+SUMIFS('Alle ruter'!$AC$3:$AC$98,'Alle ruter'!$Z$3:$Z$98,"H2",'Alle ruter'!$J$3:$J$98,$A10,'Alle ruter'!$AJ$3:$AJ$98,"&lt;="&amp;J$2)/2</f>
        <v>1112.4544611872145</v>
      </c>
      <c r="K10" s="3">
        <f>SUMIFS('Alle ruter'!$AC$3:$AC$98,'Alle ruter'!$Z$3:$Z$98,"H2",'Alle ruter'!$I$3:$I$98,$A10,'Alle ruter'!$AJ$3:$AJ$98,"&lt;="&amp;K$2)/2+SUMIFS('Alle ruter'!$AC$3:$AC$98,'Alle ruter'!$Z$3:$Z$98,"H2",'Alle ruter'!$J$3:$J$98,$A10,'Alle ruter'!$AJ$3:$AJ$98,"&lt;="&amp;K$2)/2</f>
        <v>1112.4544611872145</v>
      </c>
      <c r="L10" s="3">
        <f>SUMIFS('Alle ruter'!$AC$3:$AC$98,'Alle ruter'!$Z$3:$Z$98,"H2",'Alle ruter'!$I$3:$I$98,$A10,'Alle ruter'!$AJ$3:$AJ$98,"&lt;="&amp;L$2)/2+SUMIFS('Alle ruter'!$AC$3:$AC$98,'Alle ruter'!$Z$3:$Z$98,"H2",'Alle ruter'!$J$3:$J$98,$A10,'Alle ruter'!$AJ$3:$AJ$98,"&lt;="&amp;L$2)/2</f>
        <v>1112.4544611872145</v>
      </c>
      <c r="M10" s="3">
        <f>SUMIFS('Alle ruter'!$AC$3:$AC$98,'Alle ruter'!$Z$3:$Z$98,"H2",'Alle ruter'!$I$3:$I$98,$A10,'Alle ruter'!$AJ$3:$AJ$98,"&lt;="&amp;M$2)/2+SUMIFS('Alle ruter'!$AC$3:$AC$98,'Alle ruter'!$Z$3:$Z$98,"H2",'Alle ruter'!$J$3:$J$98,$A10,'Alle ruter'!$AJ$3:$AJ$98,"&lt;="&amp;M$2)/2</f>
        <v>1112.4544611872145</v>
      </c>
      <c r="N10" s="3">
        <f>SUMIFS('Alle ruter'!$AC$3:$AC$98,'Alle ruter'!$Z$3:$Z$98,"H2",'Alle ruter'!$I$3:$I$98,$A10,'Alle ruter'!$AJ$3:$AJ$98,"&lt;="&amp;N$2)/2+SUMIFS('Alle ruter'!$AC$3:$AC$98,'Alle ruter'!$Z$3:$Z$98,"H2",'Alle ruter'!$J$3:$J$98,$A10,'Alle ruter'!$AJ$3:$AJ$98,"&lt;="&amp;N$2)/2</f>
        <v>1112.4544611872145</v>
      </c>
      <c r="O10" s="3">
        <f>SUMIFS('Alle ruter'!$AC$3:$AC$98,'Alle ruter'!$Z$3:$Z$98,"H2",'Alle ruter'!$I$3:$I$98,$A10,'Alle ruter'!$AJ$3:$AJ$98,"&lt;="&amp;O$2)/2+SUMIFS('Alle ruter'!$AC$3:$AC$98,'Alle ruter'!$Z$3:$Z$98,"H2",'Alle ruter'!$J$3:$J$98,$A10,'Alle ruter'!$AJ$3:$AJ$98,"&lt;="&amp;O$2)/2</f>
        <v>1112.4544611872145</v>
      </c>
      <c r="P10" s="3">
        <f>SUMIFS('Alle ruter'!$AC$3:$AC$98,'Alle ruter'!$Z$3:$Z$98,"H2",'Alle ruter'!$I$3:$I$98,$A10,'Alle ruter'!$AJ$3:$AJ$98,"&lt;="&amp;P$2)/2+SUMIFS('Alle ruter'!$AC$3:$AC$98,'Alle ruter'!$Z$3:$Z$98,"H2",'Alle ruter'!$J$3:$J$98,$A10,'Alle ruter'!$AJ$3:$AJ$98,"&lt;="&amp;P$2)/2</f>
        <v>1112.4544611872145</v>
      </c>
      <c r="Q10" s="3">
        <f>SUMIFS('Alle ruter'!$AC$3:$AC$98,'Alle ruter'!$Z$3:$Z$98,"H2",'Alle ruter'!$I$3:$I$98,$A10,'Alle ruter'!$AJ$3:$AJ$98,"&lt;="&amp;Q$2)/2+SUMIFS('Alle ruter'!$AC$3:$AC$98,'Alle ruter'!$Z$3:$Z$98,"H2",'Alle ruter'!$J$3:$J$98,$A10,'Alle ruter'!$AJ$3:$AJ$98,"&lt;="&amp;Q$2)/2</f>
        <v>1112.4544611872145</v>
      </c>
      <c r="R10" s="3">
        <f>SUMIFS('Alle ruter'!$AC$3:$AC$98,'Alle ruter'!$Z$3:$Z$98,"H2",'Alle ruter'!$I$3:$I$98,$A10,'Alle ruter'!$AJ$3:$AJ$98,"&lt;="&amp;R$2)/2+SUMIFS('Alle ruter'!$AC$3:$AC$98,'Alle ruter'!$Z$3:$Z$98,"H2",'Alle ruter'!$J$3:$J$98,$A10,'Alle ruter'!$AJ$3:$AJ$98,"&lt;="&amp;R$2)/2</f>
        <v>1112.4544611872145</v>
      </c>
      <c r="S10" s="3">
        <f>SUMIFS('Alle ruter'!$AC$3:$AC$98,'Alle ruter'!$Z$3:$Z$98,"H2",'Alle ruter'!$I$3:$I$98,$A10,'Alle ruter'!$AJ$3:$AJ$98,"&lt;="&amp;S$2)/2+SUMIFS('Alle ruter'!$AC$3:$AC$98,'Alle ruter'!$Z$3:$Z$98,"H2",'Alle ruter'!$J$3:$J$98,$A10,'Alle ruter'!$AJ$3:$AJ$98,"&lt;="&amp;S$2)/2</f>
        <v>1112.4544611872145</v>
      </c>
      <c r="T10" s="3"/>
    </row>
    <row r="11" spans="1:20" x14ac:dyDescent="0.3">
      <c r="A11" t="s">
        <v>111</v>
      </c>
      <c r="B11" t="s">
        <v>11</v>
      </c>
      <c r="C11" s="3">
        <f>COUNTIF('Alle ruter'!$I$3:$I$98,'H2 pr endeplass'!A10)+COUNTIFS('Alle ruter'!$J$3:$J$98,'H2 pr endeplass'!A10,'Alle ruter'!$K$3:$K$98,"Nei")</f>
        <v>2</v>
      </c>
      <c r="D11" s="3">
        <f>COUNTIFS('Alle ruter'!$I$3:$I$98,'H2 pr endeplass'!A10,'Alle ruter'!$Z$3:$Z$98,"H2")+COUNTIFS('Alle ruter'!$J$3:$J$98,'H2 pr endeplass'!A10,'Alle ruter'!$K$3:$K$98,"Nei",'Alle ruter'!$Z$3:$Z$98,"H2")</f>
        <v>2</v>
      </c>
      <c r="E11">
        <v>0</v>
      </c>
      <c r="F11" s="3">
        <f>SUMIFS('Alle ruter'!$AC$3:$AC$98,'Alle ruter'!$Z$3:$Z$98,"H2",'Alle ruter'!$I$3:$I$98,$A11,'Alle ruter'!$AJ$3:$AJ$98,"&lt;="&amp;F$2)/2+SUMIFS('Alle ruter'!$AC$3:$AC$98,'Alle ruter'!$Z$3:$Z$98,"H2",'Alle ruter'!$J$3:$J$98,$A11,'Alle ruter'!$AJ$3:$AJ$98,"&lt;="&amp;F$2)/2</f>
        <v>0</v>
      </c>
      <c r="G11" s="3">
        <f>SUMIFS('Alle ruter'!$AC$3:$AC$98,'Alle ruter'!$Z$3:$Z$98,"H2",'Alle ruter'!$I$3:$I$98,$A11,'Alle ruter'!$AJ$3:$AJ$98,"&lt;="&amp;G$2)/2+SUMIFS('Alle ruter'!$AC$3:$AC$98,'Alle ruter'!$Z$3:$Z$98,"H2",'Alle ruter'!$J$3:$J$98,$A11,'Alle ruter'!$AJ$3:$AJ$98,"&lt;="&amp;G$2)/2</f>
        <v>0</v>
      </c>
      <c r="H11" s="3">
        <f>SUMIFS('Alle ruter'!$AC$3:$AC$98,'Alle ruter'!$Z$3:$Z$98,"H2",'Alle ruter'!$I$3:$I$98,$A11,'Alle ruter'!$AJ$3:$AJ$98,"&lt;="&amp;H$2)/2+SUMIFS('Alle ruter'!$AC$3:$AC$98,'Alle ruter'!$Z$3:$Z$98,"H2",'Alle ruter'!$J$3:$J$98,$A11,'Alle ruter'!$AJ$3:$AJ$98,"&lt;="&amp;H$2)/2</f>
        <v>0</v>
      </c>
      <c r="I11" s="3">
        <f>SUMIFS('Alle ruter'!$AC$3:$AC$98,'Alle ruter'!$Z$3:$Z$98,"H2",'Alle ruter'!$I$3:$I$98,$A11,'Alle ruter'!$AJ$3:$AJ$98,"&lt;="&amp;I$2)/2+SUMIFS('Alle ruter'!$AC$3:$AC$98,'Alle ruter'!$Z$3:$Z$98,"H2",'Alle ruter'!$J$3:$J$98,$A11,'Alle ruter'!$AJ$3:$AJ$98,"&lt;="&amp;I$2)/2</f>
        <v>0</v>
      </c>
      <c r="J11" s="3">
        <f>SUMIFS('Alle ruter'!$AC$3:$AC$98,'Alle ruter'!$Z$3:$Z$98,"H2",'Alle ruter'!$I$3:$I$98,$A11,'Alle ruter'!$AJ$3:$AJ$98,"&lt;="&amp;J$2)/2+SUMIFS('Alle ruter'!$AC$3:$AC$98,'Alle ruter'!$Z$3:$Z$98,"H2",'Alle ruter'!$J$3:$J$98,$A11,'Alle ruter'!$AJ$3:$AJ$98,"&lt;="&amp;J$2)/2</f>
        <v>0</v>
      </c>
      <c r="K11" s="3">
        <f>SUMIFS('Alle ruter'!$AC$3:$AC$98,'Alle ruter'!$Z$3:$Z$98,"H2",'Alle ruter'!$I$3:$I$98,$A11,'Alle ruter'!$AJ$3:$AJ$98,"&lt;="&amp;K$2)/2+SUMIFS('Alle ruter'!$AC$3:$AC$98,'Alle ruter'!$Z$3:$Z$98,"H2",'Alle ruter'!$J$3:$J$98,$A11,'Alle ruter'!$AJ$3:$AJ$98,"&lt;="&amp;K$2)/2</f>
        <v>1097.7089863683409</v>
      </c>
      <c r="L11" s="3">
        <f>SUMIFS('Alle ruter'!$AC$3:$AC$98,'Alle ruter'!$Z$3:$Z$98,"H2",'Alle ruter'!$I$3:$I$98,$A11,'Alle ruter'!$AJ$3:$AJ$98,"&lt;="&amp;L$2)/2+SUMIFS('Alle ruter'!$AC$3:$AC$98,'Alle ruter'!$Z$3:$Z$98,"H2",'Alle ruter'!$J$3:$J$98,$A11,'Alle ruter'!$AJ$3:$AJ$98,"&lt;="&amp;L$2)/2</f>
        <v>1097.7089863683409</v>
      </c>
      <c r="M11" s="3">
        <f>SUMIFS('Alle ruter'!$AC$3:$AC$98,'Alle ruter'!$Z$3:$Z$98,"H2",'Alle ruter'!$I$3:$I$98,$A11,'Alle ruter'!$AJ$3:$AJ$98,"&lt;="&amp;M$2)/2+SUMIFS('Alle ruter'!$AC$3:$AC$98,'Alle ruter'!$Z$3:$Z$98,"H2",'Alle ruter'!$J$3:$J$98,$A11,'Alle ruter'!$AJ$3:$AJ$98,"&lt;="&amp;M$2)/2</f>
        <v>1097.7089863683409</v>
      </c>
      <c r="N11" s="3">
        <f>SUMIFS('Alle ruter'!$AC$3:$AC$98,'Alle ruter'!$Z$3:$Z$98,"H2",'Alle ruter'!$I$3:$I$98,$A11,'Alle ruter'!$AJ$3:$AJ$98,"&lt;="&amp;N$2)/2+SUMIFS('Alle ruter'!$AC$3:$AC$98,'Alle ruter'!$Z$3:$Z$98,"H2",'Alle ruter'!$J$3:$J$98,$A11,'Alle ruter'!$AJ$3:$AJ$98,"&lt;="&amp;N$2)/2</f>
        <v>1097.7089863683409</v>
      </c>
      <c r="O11" s="3">
        <f>SUMIFS('Alle ruter'!$AC$3:$AC$98,'Alle ruter'!$Z$3:$Z$98,"H2",'Alle ruter'!$I$3:$I$98,$A11,'Alle ruter'!$AJ$3:$AJ$98,"&lt;="&amp;O$2)/2+SUMIFS('Alle ruter'!$AC$3:$AC$98,'Alle ruter'!$Z$3:$Z$98,"H2",'Alle ruter'!$J$3:$J$98,$A11,'Alle ruter'!$AJ$3:$AJ$98,"&lt;="&amp;O$2)/2</f>
        <v>1097.7089863683409</v>
      </c>
      <c r="P11" s="3">
        <f>SUMIFS('Alle ruter'!$AC$3:$AC$98,'Alle ruter'!$Z$3:$Z$98,"H2",'Alle ruter'!$I$3:$I$98,$A11,'Alle ruter'!$AJ$3:$AJ$98,"&lt;="&amp;P$2)/2+SUMIFS('Alle ruter'!$AC$3:$AC$98,'Alle ruter'!$Z$3:$Z$98,"H2",'Alle ruter'!$J$3:$J$98,$A11,'Alle ruter'!$AJ$3:$AJ$98,"&lt;="&amp;P$2)/2</f>
        <v>1097.7089863683409</v>
      </c>
      <c r="Q11" s="3">
        <f>SUMIFS('Alle ruter'!$AC$3:$AC$98,'Alle ruter'!$Z$3:$Z$98,"H2",'Alle ruter'!$I$3:$I$98,$A11,'Alle ruter'!$AJ$3:$AJ$98,"&lt;="&amp;Q$2)/2+SUMIFS('Alle ruter'!$AC$3:$AC$98,'Alle ruter'!$Z$3:$Z$98,"H2",'Alle ruter'!$J$3:$J$98,$A11,'Alle ruter'!$AJ$3:$AJ$98,"&lt;="&amp;Q$2)/2</f>
        <v>1097.7089863683409</v>
      </c>
      <c r="R11" s="3">
        <f>SUMIFS('Alle ruter'!$AC$3:$AC$98,'Alle ruter'!$Z$3:$Z$98,"H2",'Alle ruter'!$I$3:$I$98,$A11,'Alle ruter'!$AJ$3:$AJ$98,"&lt;="&amp;R$2)/2+SUMIFS('Alle ruter'!$AC$3:$AC$98,'Alle ruter'!$Z$3:$Z$98,"H2",'Alle ruter'!$J$3:$J$98,$A11,'Alle ruter'!$AJ$3:$AJ$98,"&lt;="&amp;R$2)/2</f>
        <v>1097.7089863683409</v>
      </c>
      <c r="S11" s="3">
        <f>SUMIFS('Alle ruter'!$AC$3:$AC$98,'Alle ruter'!$Z$3:$Z$98,"H2",'Alle ruter'!$I$3:$I$98,$A11,'Alle ruter'!$AJ$3:$AJ$98,"&lt;="&amp;S$2)/2+SUMIFS('Alle ruter'!$AC$3:$AC$98,'Alle ruter'!$Z$3:$Z$98,"H2",'Alle ruter'!$J$3:$J$98,$A11,'Alle ruter'!$AJ$3:$AJ$98,"&lt;="&amp;S$2)/2</f>
        <v>1097.7089863683409</v>
      </c>
      <c r="T11" s="3"/>
    </row>
    <row r="12" spans="1:20" x14ac:dyDescent="0.3">
      <c r="A12" t="s">
        <v>127</v>
      </c>
      <c r="B12" t="s">
        <v>11</v>
      </c>
      <c r="C12" s="3">
        <f>COUNTIF('Alle ruter'!$I$3:$I$98,'H2 pr endeplass'!A12)+COUNTIFS('Alle ruter'!$J$3:$J$98,'H2 pr endeplass'!A12,'Alle ruter'!$K$3:$K$98,"Nei")</f>
        <v>6</v>
      </c>
      <c r="D12" s="3">
        <f>COUNTIFS('Alle ruter'!$I$3:$I$98,'H2 pr endeplass'!A12,'Alle ruter'!$Z$3:$Z$98,"H2")+COUNTIFS('Alle ruter'!$J$3:$J$98,'H2 pr endeplass'!A12,'Alle ruter'!$K$3:$K$98,"Nei",'Alle ruter'!$Z$3:$Z$98,"H2")</f>
        <v>4</v>
      </c>
      <c r="E12">
        <v>0</v>
      </c>
      <c r="F12" s="3">
        <f>SUMIFS('Alle ruter'!$AC$3:$AC$98,'Alle ruter'!$Z$3:$Z$98,"H2",'Alle ruter'!$I$3:$I$98,$A12,'Alle ruter'!$AJ$3:$AJ$98,"&lt;="&amp;F$2)/2+SUMIFS('Alle ruter'!$AC$3:$AC$98,'Alle ruter'!$Z$3:$Z$98,"H2",'Alle ruter'!$J$3:$J$98,$A12,'Alle ruter'!$AJ$3:$AJ$98,"&lt;="&amp;F$2)/2</f>
        <v>0</v>
      </c>
      <c r="G12" s="3">
        <f>SUMIFS('Alle ruter'!$AC$3:$AC$98,'Alle ruter'!$Z$3:$Z$98,"H2",'Alle ruter'!$I$3:$I$98,$A12,'Alle ruter'!$AJ$3:$AJ$98,"&lt;="&amp;G$2)/2+SUMIFS('Alle ruter'!$AC$3:$AC$98,'Alle ruter'!$Z$3:$Z$98,"H2",'Alle ruter'!$J$3:$J$98,$A12,'Alle ruter'!$AJ$3:$AJ$98,"&lt;="&amp;G$2)/2</f>
        <v>0</v>
      </c>
      <c r="H12" s="3">
        <f>SUMIFS('Alle ruter'!$AC$3:$AC$98,'Alle ruter'!$Z$3:$Z$98,"H2",'Alle ruter'!$I$3:$I$98,$A12,'Alle ruter'!$AJ$3:$AJ$98,"&lt;="&amp;H$2)/2+SUMIFS('Alle ruter'!$AC$3:$AC$98,'Alle ruter'!$Z$3:$Z$98,"H2",'Alle ruter'!$J$3:$J$98,$A12,'Alle ruter'!$AJ$3:$AJ$98,"&lt;="&amp;H$2)/2</f>
        <v>1034.5826489041094</v>
      </c>
      <c r="I12" s="3">
        <f>SUMIFS('Alle ruter'!$AC$3:$AC$98,'Alle ruter'!$Z$3:$Z$98,"H2",'Alle ruter'!$I$3:$I$98,$A12,'Alle ruter'!$AJ$3:$AJ$98,"&lt;="&amp;I$2)/2+SUMIFS('Alle ruter'!$AC$3:$AC$98,'Alle ruter'!$Z$3:$Z$98,"H2",'Alle ruter'!$J$3:$J$98,$A12,'Alle ruter'!$AJ$3:$AJ$98,"&lt;="&amp;I$2)/2</f>
        <v>1034.5826489041094</v>
      </c>
      <c r="J12" s="3">
        <f>SUMIFS('Alle ruter'!$AC$3:$AC$98,'Alle ruter'!$Z$3:$Z$98,"H2",'Alle ruter'!$I$3:$I$98,$A12,'Alle ruter'!$AJ$3:$AJ$98,"&lt;="&amp;J$2)/2+SUMIFS('Alle ruter'!$AC$3:$AC$98,'Alle ruter'!$Z$3:$Z$98,"H2",'Alle ruter'!$J$3:$J$98,$A12,'Alle ruter'!$AJ$3:$AJ$98,"&lt;="&amp;J$2)/2</f>
        <v>1034.5826489041094</v>
      </c>
      <c r="K12" s="3">
        <f>SUMIFS('Alle ruter'!$AC$3:$AC$98,'Alle ruter'!$Z$3:$Z$98,"H2",'Alle ruter'!$I$3:$I$98,$A12,'Alle ruter'!$AJ$3:$AJ$98,"&lt;="&amp;K$2)/2+SUMIFS('Alle ruter'!$AC$3:$AC$98,'Alle ruter'!$Z$3:$Z$98,"H2",'Alle ruter'!$J$3:$J$98,$A12,'Alle ruter'!$AJ$3:$AJ$98,"&lt;="&amp;K$2)/2</f>
        <v>1034.5826489041094</v>
      </c>
      <c r="L12" s="3">
        <f>SUMIFS('Alle ruter'!$AC$3:$AC$98,'Alle ruter'!$Z$3:$Z$98,"H2",'Alle ruter'!$I$3:$I$98,$A12,'Alle ruter'!$AJ$3:$AJ$98,"&lt;="&amp;L$2)/2+SUMIFS('Alle ruter'!$AC$3:$AC$98,'Alle ruter'!$Z$3:$Z$98,"H2",'Alle ruter'!$J$3:$J$98,$A12,'Alle ruter'!$AJ$3:$AJ$98,"&lt;="&amp;L$2)/2</f>
        <v>1034.5826489041094</v>
      </c>
      <c r="M12" s="3">
        <f>SUMIFS('Alle ruter'!$AC$3:$AC$98,'Alle ruter'!$Z$3:$Z$98,"H2",'Alle ruter'!$I$3:$I$98,$A12,'Alle ruter'!$AJ$3:$AJ$98,"&lt;="&amp;M$2)/2+SUMIFS('Alle ruter'!$AC$3:$AC$98,'Alle ruter'!$Z$3:$Z$98,"H2",'Alle ruter'!$J$3:$J$98,$A12,'Alle ruter'!$AJ$3:$AJ$98,"&lt;="&amp;M$2)/2</f>
        <v>1034.5826489041094</v>
      </c>
      <c r="N12" s="3">
        <f>SUMIFS('Alle ruter'!$AC$3:$AC$98,'Alle ruter'!$Z$3:$Z$98,"H2",'Alle ruter'!$I$3:$I$98,$A12,'Alle ruter'!$AJ$3:$AJ$98,"&lt;="&amp;N$2)/2+SUMIFS('Alle ruter'!$AC$3:$AC$98,'Alle ruter'!$Z$3:$Z$98,"H2",'Alle ruter'!$J$3:$J$98,$A12,'Alle ruter'!$AJ$3:$AJ$98,"&lt;="&amp;N$2)/2</f>
        <v>1034.5826489041094</v>
      </c>
      <c r="O12" s="3">
        <f>SUMIFS('Alle ruter'!$AC$3:$AC$98,'Alle ruter'!$Z$3:$Z$98,"H2",'Alle ruter'!$I$3:$I$98,$A12,'Alle ruter'!$AJ$3:$AJ$98,"&lt;="&amp;O$2)/2+SUMIFS('Alle ruter'!$AC$3:$AC$98,'Alle ruter'!$Z$3:$Z$98,"H2",'Alle ruter'!$J$3:$J$98,$A12,'Alle ruter'!$AJ$3:$AJ$98,"&lt;="&amp;O$2)/2</f>
        <v>1034.5826489041094</v>
      </c>
      <c r="P12" s="3">
        <f>SUMIFS('Alle ruter'!$AC$3:$AC$98,'Alle ruter'!$Z$3:$Z$98,"H2",'Alle ruter'!$I$3:$I$98,$A12,'Alle ruter'!$AJ$3:$AJ$98,"&lt;="&amp;P$2)/2+SUMIFS('Alle ruter'!$AC$3:$AC$98,'Alle ruter'!$Z$3:$Z$98,"H2",'Alle ruter'!$J$3:$J$98,$A12,'Alle ruter'!$AJ$3:$AJ$98,"&lt;="&amp;P$2)/2</f>
        <v>1034.5826489041094</v>
      </c>
      <c r="Q12" s="3">
        <f>SUMIFS('Alle ruter'!$AC$3:$AC$98,'Alle ruter'!$Z$3:$Z$98,"H2",'Alle ruter'!$I$3:$I$98,$A12,'Alle ruter'!$AJ$3:$AJ$98,"&lt;="&amp;Q$2)/2+SUMIFS('Alle ruter'!$AC$3:$AC$98,'Alle ruter'!$Z$3:$Z$98,"H2",'Alle ruter'!$J$3:$J$98,$A12,'Alle ruter'!$AJ$3:$AJ$98,"&lt;="&amp;Q$2)/2</f>
        <v>1034.5826489041094</v>
      </c>
      <c r="R12" s="3">
        <f>SUMIFS('Alle ruter'!$AC$3:$AC$98,'Alle ruter'!$Z$3:$Z$98,"H2",'Alle ruter'!$I$3:$I$98,$A12,'Alle ruter'!$AJ$3:$AJ$98,"&lt;="&amp;R$2)/2+SUMIFS('Alle ruter'!$AC$3:$AC$98,'Alle ruter'!$Z$3:$Z$98,"H2",'Alle ruter'!$J$3:$J$98,$A12,'Alle ruter'!$AJ$3:$AJ$98,"&lt;="&amp;R$2)/2</f>
        <v>1034.5826489041094</v>
      </c>
      <c r="S12" s="3">
        <f>SUMIFS('Alle ruter'!$AC$3:$AC$98,'Alle ruter'!$Z$3:$Z$98,"H2",'Alle ruter'!$I$3:$I$98,$A12,'Alle ruter'!$AJ$3:$AJ$98,"&lt;="&amp;S$2)/2+SUMIFS('Alle ruter'!$AC$3:$AC$98,'Alle ruter'!$Z$3:$Z$98,"H2",'Alle ruter'!$J$3:$J$98,$A12,'Alle ruter'!$AJ$3:$AJ$98,"&lt;="&amp;S$2)/2</f>
        <v>1034.5826489041094</v>
      </c>
      <c r="T12" s="3"/>
    </row>
    <row r="13" spans="1:20" x14ac:dyDescent="0.3">
      <c r="A13" t="s">
        <v>110</v>
      </c>
      <c r="B13" t="s">
        <v>8</v>
      </c>
      <c r="C13" s="3">
        <f>COUNTIF('Alle ruter'!$I$3:$I$98,'H2 pr endeplass'!A13)+COUNTIFS('Alle ruter'!$J$3:$J$98,'H2 pr endeplass'!A13,'Alle ruter'!$K$3:$K$98,"Nei")</f>
        <v>1</v>
      </c>
      <c r="D13" s="3">
        <f>COUNTIFS('Alle ruter'!$I$3:$I$98,'H2 pr endeplass'!A13,'Alle ruter'!$Z$3:$Z$98,"H2")+COUNTIFS('Alle ruter'!$J$3:$J$98,'H2 pr endeplass'!A13,'Alle ruter'!$K$3:$K$98,"Nei",'Alle ruter'!$Z$3:$Z$98,"H2")</f>
        <v>1</v>
      </c>
      <c r="E13">
        <v>0</v>
      </c>
      <c r="F13" s="3">
        <f>SUMIFS('Alle ruter'!$AC$3:$AC$98,'Alle ruter'!$Z$3:$Z$98,"H2",'Alle ruter'!$I$3:$I$98,$A13,'Alle ruter'!$AJ$3:$AJ$98,"&lt;="&amp;F$2)/2+SUMIFS('Alle ruter'!$AC$3:$AC$98,'Alle ruter'!$Z$3:$Z$98,"H2",'Alle ruter'!$J$3:$J$98,$A13,'Alle ruter'!$AJ$3:$AJ$98,"&lt;="&amp;F$2)/2</f>
        <v>0</v>
      </c>
      <c r="G13" s="3">
        <f>SUMIFS('Alle ruter'!$AC$3:$AC$98,'Alle ruter'!$Z$3:$Z$98,"H2",'Alle ruter'!$I$3:$I$98,$A13,'Alle ruter'!$AJ$3:$AJ$98,"&lt;="&amp;G$2)/2+SUMIFS('Alle ruter'!$AC$3:$AC$98,'Alle ruter'!$Z$3:$Z$98,"H2",'Alle ruter'!$J$3:$J$98,$A13,'Alle ruter'!$AJ$3:$AJ$98,"&lt;="&amp;G$2)/2</f>
        <v>948.22195334794537</v>
      </c>
      <c r="H13" s="3">
        <f>SUMIFS('Alle ruter'!$AC$3:$AC$98,'Alle ruter'!$Z$3:$Z$98,"H2",'Alle ruter'!$I$3:$I$98,$A13,'Alle ruter'!$AJ$3:$AJ$98,"&lt;="&amp;H$2)/2+SUMIFS('Alle ruter'!$AC$3:$AC$98,'Alle ruter'!$Z$3:$Z$98,"H2",'Alle ruter'!$J$3:$J$98,$A13,'Alle ruter'!$AJ$3:$AJ$98,"&lt;="&amp;H$2)/2</f>
        <v>948.22195334794537</v>
      </c>
      <c r="I13" s="3">
        <f>SUMIFS('Alle ruter'!$AC$3:$AC$98,'Alle ruter'!$Z$3:$Z$98,"H2",'Alle ruter'!$I$3:$I$98,$A13,'Alle ruter'!$AJ$3:$AJ$98,"&lt;="&amp;I$2)/2+SUMIFS('Alle ruter'!$AC$3:$AC$98,'Alle ruter'!$Z$3:$Z$98,"H2",'Alle ruter'!$J$3:$J$98,$A13,'Alle ruter'!$AJ$3:$AJ$98,"&lt;="&amp;I$2)/2</f>
        <v>948.22195334794537</v>
      </c>
      <c r="J13" s="3">
        <f>SUMIFS('Alle ruter'!$AC$3:$AC$98,'Alle ruter'!$Z$3:$Z$98,"H2",'Alle ruter'!$I$3:$I$98,$A13,'Alle ruter'!$AJ$3:$AJ$98,"&lt;="&amp;J$2)/2+SUMIFS('Alle ruter'!$AC$3:$AC$98,'Alle ruter'!$Z$3:$Z$98,"H2",'Alle ruter'!$J$3:$J$98,$A13,'Alle ruter'!$AJ$3:$AJ$98,"&lt;="&amp;J$2)/2</f>
        <v>948.22195334794537</v>
      </c>
      <c r="K13" s="3">
        <f>SUMIFS('Alle ruter'!$AC$3:$AC$98,'Alle ruter'!$Z$3:$Z$98,"H2",'Alle ruter'!$I$3:$I$98,$A13,'Alle ruter'!$AJ$3:$AJ$98,"&lt;="&amp;K$2)/2+SUMIFS('Alle ruter'!$AC$3:$AC$98,'Alle ruter'!$Z$3:$Z$98,"H2",'Alle ruter'!$J$3:$J$98,$A13,'Alle ruter'!$AJ$3:$AJ$98,"&lt;="&amp;K$2)/2</f>
        <v>948.22195334794537</v>
      </c>
      <c r="L13" s="3">
        <f>SUMIFS('Alle ruter'!$AC$3:$AC$98,'Alle ruter'!$Z$3:$Z$98,"H2",'Alle ruter'!$I$3:$I$98,$A13,'Alle ruter'!$AJ$3:$AJ$98,"&lt;="&amp;L$2)/2+SUMIFS('Alle ruter'!$AC$3:$AC$98,'Alle ruter'!$Z$3:$Z$98,"H2",'Alle ruter'!$J$3:$J$98,$A13,'Alle ruter'!$AJ$3:$AJ$98,"&lt;="&amp;L$2)/2</f>
        <v>948.22195334794537</v>
      </c>
      <c r="M13" s="3">
        <f>SUMIFS('Alle ruter'!$AC$3:$AC$98,'Alle ruter'!$Z$3:$Z$98,"H2",'Alle ruter'!$I$3:$I$98,$A13,'Alle ruter'!$AJ$3:$AJ$98,"&lt;="&amp;M$2)/2+SUMIFS('Alle ruter'!$AC$3:$AC$98,'Alle ruter'!$Z$3:$Z$98,"H2",'Alle ruter'!$J$3:$J$98,$A13,'Alle ruter'!$AJ$3:$AJ$98,"&lt;="&amp;M$2)/2</f>
        <v>948.22195334794537</v>
      </c>
      <c r="N13" s="3">
        <f>SUMIFS('Alle ruter'!$AC$3:$AC$98,'Alle ruter'!$Z$3:$Z$98,"H2",'Alle ruter'!$I$3:$I$98,$A13,'Alle ruter'!$AJ$3:$AJ$98,"&lt;="&amp;N$2)/2+SUMIFS('Alle ruter'!$AC$3:$AC$98,'Alle ruter'!$Z$3:$Z$98,"H2",'Alle ruter'!$J$3:$J$98,$A13,'Alle ruter'!$AJ$3:$AJ$98,"&lt;="&amp;N$2)/2</f>
        <v>948.22195334794537</v>
      </c>
      <c r="O13" s="3">
        <f>SUMIFS('Alle ruter'!$AC$3:$AC$98,'Alle ruter'!$Z$3:$Z$98,"H2",'Alle ruter'!$I$3:$I$98,$A13,'Alle ruter'!$AJ$3:$AJ$98,"&lt;="&amp;O$2)/2+SUMIFS('Alle ruter'!$AC$3:$AC$98,'Alle ruter'!$Z$3:$Z$98,"H2",'Alle ruter'!$J$3:$J$98,$A13,'Alle ruter'!$AJ$3:$AJ$98,"&lt;="&amp;O$2)/2</f>
        <v>948.22195334794537</v>
      </c>
      <c r="P13" s="3">
        <f>SUMIFS('Alle ruter'!$AC$3:$AC$98,'Alle ruter'!$Z$3:$Z$98,"H2",'Alle ruter'!$I$3:$I$98,$A13,'Alle ruter'!$AJ$3:$AJ$98,"&lt;="&amp;P$2)/2+SUMIFS('Alle ruter'!$AC$3:$AC$98,'Alle ruter'!$Z$3:$Z$98,"H2",'Alle ruter'!$J$3:$J$98,$A13,'Alle ruter'!$AJ$3:$AJ$98,"&lt;="&amp;P$2)/2</f>
        <v>948.22195334794537</v>
      </c>
      <c r="Q13" s="3">
        <f>SUMIFS('Alle ruter'!$AC$3:$AC$98,'Alle ruter'!$Z$3:$Z$98,"H2",'Alle ruter'!$I$3:$I$98,$A13,'Alle ruter'!$AJ$3:$AJ$98,"&lt;="&amp;Q$2)/2+SUMIFS('Alle ruter'!$AC$3:$AC$98,'Alle ruter'!$Z$3:$Z$98,"H2",'Alle ruter'!$J$3:$J$98,$A13,'Alle ruter'!$AJ$3:$AJ$98,"&lt;="&amp;Q$2)/2</f>
        <v>948.22195334794537</v>
      </c>
      <c r="R13" s="3">
        <f>SUMIFS('Alle ruter'!$AC$3:$AC$98,'Alle ruter'!$Z$3:$Z$98,"H2",'Alle ruter'!$I$3:$I$98,$A13,'Alle ruter'!$AJ$3:$AJ$98,"&lt;="&amp;R$2)/2+SUMIFS('Alle ruter'!$AC$3:$AC$98,'Alle ruter'!$Z$3:$Z$98,"H2",'Alle ruter'!$J$3:$J$98,$A13,'Alle ruter'!$AJ$3:$AJ$98,"&lt;="&amp;R$2)/2</f>
        <v>948.22195334794537</v>
      </c>
      <c r="S13" s="3">
        <f>SUMIFS('Alle ruter'!$AC$3:$AC$98,'Alle ruter'!$Z$3:$Z$98,"H2",'Alle ruter'!$I$3:$I$98,$A13,'Alle ruter'!$AJ$3:$AJ$98,"&lt;="&amp;S$2)/2+SUMIFS('Alle ruter'!$AC$3:$AC$98,'Alle ruter'!$Z$3:$Z$98,"H2",'Alle ruter'!$J$3:$J$98,$A13,'Alle ruter'!$AJ$3:$AJ$98,"&lt;="&amp;S$2)/2</f>
        <v>948.22195334794537</v>
      </c>
      <c r="T13" s="3"/>
    </row>
    <row r="14" spans="1:20" x14ac:dyDescent="0.3">
      <c r="A14" t="s">
        <v>6</v>
      </c>
      <c r="B14" t="s">
        <v>6</v>
      </c>
      <c r="C14" s="3">
        <f>COUNTIF('Alle ruter'!$I$3:$I$98,'H2 pr endeplass'!A15)+COUNTIFS('Alle ruter'!$J$3:$J$98,'H2 pr endeplass'!A15,'Alle ruter'!$K$3:$K$98,"Nei")</f>
        <v>4</v>
      </c>
      <c r="D14" s="3">
        <f>COUNTIFS('Alle ruter'!$I$3:$I$98,'H2 pr endeplass'!A15,'Alle ruter'!$Z$3:$Z$98,"H2")+COUNTIFS('Alle ruter'!$J$3:$J$98,'H2 pr endeplass'!A15,'Alle ruter'!$K$3:$K$98,"Nei",'Alle ruter'!$Z$3:$Z$98,"H2")</f>
        <v>4</v>
      </c>
      <c r="E14">
        <v>0</v>
      </c>
      <c r="F14" s="3">
        <f>SUMIFS('Alle ruter'!$AC$3:$AC$98,'Alle ruter'!$Z$3:$Z$98,"H2",'Alle ruter'!$I$3:$I$98,$A14,'Alle ruter'!$AJ$3:$AJ$98,"&lt;="&amp;F$2)/2+SUMIFS('Alle ruter'!$AC$3:$AC$98,'Alle ruter'!$Z$3:$Z$98,"H2",'Alle ruter'!$J$3:$J$98,$A14,'Alle ruter'!$AJ$3:$AJ$98,"&lt;="&amp;F$2)/2</f>
        <v>0</v>
      </c>
      <c r="G14" s="3">
        <f>SUMIFS('Alle ruter'!$AC$3:$AC$98,'Alle ruter'!$Z$3:$Z$98,"H2",'Alle ruter'!$I$3:$I$98,$A14,'Alle ruter'!$AJ$3:$AJ$98,"&lt;="&amp;G$2)/2+SUMIFS('Alle ruter'!$AC$3:$AC$98,'Alle ruter'!$Z$3:$Z$98,"H2",'Alle ruter'!$J$3:$J$98,$A14,'Alle ruter'!$AJ$3:$AJ$98,"&lt;="&amp;G$2)/2</f>
        <v>0</v>
      </c>
      <c r="H14" s="3">
        <f>SUMIFS('Alle ruter'!$AC$3:$AC$98,'Alle ruter'!$Z$3:$Z$98,"H2",'Alle ruter'!$I$3:$I$98,$A14,'Alle ruter'!$AJ$3:$AJ$98,"&lt;="&amp;H$2)/2+SUMIFS('Alle ruter'!$AC$3:$AC$98,'Alle ruter'!$Z$3:$Z$98,"H2",'Alle ruter'!$J$3:$J$98,$A14,'Alle ruter'!$AJ$3:$AJ$98,"&lt;="&amp;H$2)/2</f>
        <v>749.44963357808217</v>
      </c>
      <c r="I14" s="3">
        <f>SUMIFS('Alle ruter'!$AC$3:$AC$98,'Alle ruter'!$Z$3:$Z$98,"H2",'Alle ruter'!$I$3:$I$98,$A14,'Alle ruter'!$AJ$3:$AJ$98,"&lt;="&amp;I$2)/2+SUMIFS('Alle ruter'!$AC$3:$AC$98,'Alle ruter'!$Z$3:$Z$98,"H2",'Alle ruter'!$J$3:$J$98,$A14,'Alle ruter'!$AJ$3:$AJ$98,"&lt;="&amp;I$2)/2</f>
        <v>749.44963357808217</v>
      </c>
      <c r="J14" s="3">
        <f>SUMIFS('Alle ruter'!$AC$3:$AC$98,'Alle ruter'!$Z$3:$Z$98,"H2",'Alle ruter'!$I$3:$I$98,$A14,'Alle ruter'!$AJ$3:$AJ$98,"&lt;="&amp;J$2)/2+SUMIFS('Alle ruter'!$AC$3:$AC$98,'Alle ruter'!$Z$3:$Z$98,"H2",'Alle ruter'!$J$3:$J$98,$A14,'Alle ruter'!$AJ$3:$AJ$98,"&lt;="&amp;J$2)/2</f>
        <v>749.44963357808217</v>
      </c>
      <c r="K14" s="3">
        <f>SUMIFS('Alle ruter'!$AC$3:$AC$98,'Alle ruter'!$Z$3:$Z$98,"H2",'Alle ruter'!$I$3:$I$98,$A14,'Alle ruter'!$AJ$3:$AJ$98,"&lt;="&amp;K$2)/2+SUMIFS('Alle ruter'!$AC$3:$AC$98,'Alle ruter'!$Z$3:$Z$98,"H2",'Alle ruter'!$J$3:$J$98,$A14,'Alle ruter'!$AJ$3:$AJ$98,"&lt;="&amp;K$2)/2</f>
        <v>749.44963357808217</v>
      </c>
      <c r="L14" s="3">
        <f>SUMIFS('Alle ruter'!$AC$3:$AC$98,'Alle ruter'!$Z$3:$Z$98,"H2",'Alle ruter'!$I$3:$I$98,$A14,'Alle ruter'!$AJ$3:$AJ$98,"&lt;="&amp;L$2)/2+SUMIFS('Alle ruter'!$AC$3:$AC$98,'Alle ruter'!$Z$3:$Z$98,"H2",'Alle ruter'!$J$3:$J$98,$A14,'Alle ruter'!$AJ$3:$AJ$98,"&lt;="&amp;L$2)/2</f>
        <v>749.44963357808217</v>
      </c>
      <c r="M14" s="3">
        <f>SUMIFS('Alle ruter'!$AC$3:$AC$98,'Alle ruter'!$Z$3:$Z$98,"H2",'Alle ruter'!$I$3:$I$98,$A14,'Alle ruter'!$AJ$3:$AJ$98,"&lt;="&amp;M$2)/2+SUMIFS('Alle ruter'!$AC$3:$AC$98,'Alle ruter'!$Z$3:$Z$98,"H2",'Alle ruter'!$J$3:$J$98,$A14,'Alle ruter'!$AJ$3:$AJ$98,"&lt;="&amp;M$2)/2</f>
        <v>749.44963357808217</v>
      </c>
      <c r="N14" s="3">
        <f>SUMIFS('Alle ruter'!$AC$3:$AC$98,'Alle ruter'!$Z$3:$Z$98,"H2",'Alle ruter'!$I$3:$I$98,$A14,'Alle ruter'!$AJ$3:$AJ$98,"&lt;="&amp;N$2)/2+SUMIFS('Alle ruter'!$AC$3:$AC$98,'Alle ruter'!$Z$3:$Z$98,"H2",'Alle ruter'!$J$3:$J$98,$A14,'Alle ruter'!$AJ$3:$AJ$98,"&lt;="&amp;N$2)/2</f>
        <v>749.44963357808217</v>
      </c>
      <c r="O14" s="3">
        <f>SUMIFS('Alle ruter'!$AC$3:$AC$98,'Alle ruter'!$Z$3:$Z$98,"H2",'Alle ruter'!$I$3:$I$98,$A14,'Alle ruter'!$AJ$3:$AJ$98,"&lt;="&amp;O$2)/2+SUMIFS('Alle ruter'!$AC$3:$AC$98,'Alle ruter'!$Z$3:$Z$98,"H2",'Alle ruter'!$J$3:$J$98,$A14,'Alle ruter'!$AJ$3:$AJ$98,"&lt;="&amp;O$2)/2</f>
        <v>749.44963357808217</v>
      </c>
      <c r="P14" s="3">
        <f>SUMIFS('Alle ruter'!$AC$3:$AC$98,'Alle ruter'!$Z$3:$Z$98,"H2",'Alle ruter'!$I$3:$I$98,$A14,'Alle ruter'!$AJ$3:$AJ$98,"&lt;="&amp;P$2)/2+SUMIFS('Alle ruter'!$AC$3:$AC$98,'Alle ruter'!$Z$3:$Z$98,"H2",'Alle ruter'!$J$3:$J$98,$A14,'Alle ruter'!$AJ$3:$AJ$98,"&lt;="&amp;P$2)/2</f>
        <v>749.44963357808217</v>
      </c>
      <c r="Q14" s="3">
        <f>SUMIFS('Alle ruter'!$AC$3:$AC$98,'Alle ruter'!$Z$3:$Z$98,"H2",'Alle ruter'!$I$3:$I$98,$A14,'Alle ruter'!$AJ$3:$AJ$98,"&lt;="&amp;Q$2)/2+SUMIFS('Alle ruter'!$AC$3:$AC$98,'Alle ruter'!$Z$3:$Z$98,"H2",'Alle ruter'!$J$3:$J$98,$A14,'Alle ruter'!$AJ$3:$AJ$98,"&lt;="&amp;Q$2)/2</f>
        <v>749.44963357808217</v>
      </c>
      <c r="R14" s="3">
        <f>SUMIFS('Alle ruter'!$AC$3:$AC$98,'Alle ruter'!$Z$3:$Z$98,"H2",'Alle ruter'!$I$3:$I$98,$A14,'Alle ruter'!$AJ$3:$AJ$98,"&lt;="&amp;R$2)/2+SUMIFS('Alle ruter'!$AC$3:$AC$98,'Alle ruter'!$Z$3:$Z$98,"H2",'Alle ruter'!$J$3:$J$98,$A14,'Alle ruter'!$AJ$3:$AJ$98,"&lt;="&amp;R$2)/2</f>
        <v>749.44963357808217</v>
      </c>
      <c r="S14" s="3">
        <f>SUMIFS('Alle ruter'!$AC$3:$AC$98,'Alle ruter'!$Z$3:$Z$98,"H2",'Alle ruter'!$I$3:$I$98,$A14,'Alle ruter'!$AJ$3:$AJ$98,"&lt;="&amp;S$2)/2+SUMIFS('Alle ruter'!$AC$3:$AC$98,'Alle ruter'!$Z$3:$Z$98,"H2",'Alle ruter'!$J$3:$J$98,$A14,'Alle ruter'!$AJ$3:$AJ$98,"&lt;="&amp;S$2)/2</f>
        <v>749.44963357808217</v>
      </c>
      <c r="T14" s="3"/>
    </row>
    <row r="15" spans="1:20" x14ac:dyDescent="0.3">
      <c r="A15" t="s">
        <v>114</v>
      </c>
      <c r="B15" t="s">
        <v>389</v>
      </c>
      <c r="C15" s="3">
        <f>COUNTIF('Alle ruter'!$I$3:$I$98,'H2 pr endeplass'!A14)+COUNTIFS('Alle ruter'!$J$3:$J$98,'H2 pr endeplass'!A14,'Alle ruter'!$K$3:$K$98,"Nei")</f>
        <v>4</v>
      </c>
      <c r="D15" s="3">
        <f>COUNTIFS('Alle ruter'!$I$3:$I$98,'H2 pr endeplass'!A14,'Alle ruter'!$Z$3:$Z$98,"H2")+COUNTIFS('Alle ruter'!$J$3:$J$98,'H2 pr endeplass'!A14,'Alle ruter'!$K$3:$K$98,"Nei",'Alle ruter'!$Z$3:$Z$98,"H2")</f>
        <v>3</v>
      </c>
      <c r="E15">
        <v>0</v>
      </c>
      <c r="F15" s="3">
        <f>SUMIFS('Alle ruter'!$AC$3:$AC$98,'Alle ruter'!$Z$3:$Z$98,"H2",'Alle ruter'!$I$3:$I$98,$A15,'Alle ruter'!$AJ$3:$AJ$98,"&lt;="&amp;F$2)/2+SUMIFS('Alle ruter'!$AC$3:$AC$98,'Alle ruter'!$Z$3:$Z$98,"H2",'Alle ruter'!$J$3:$J$98,$A15,'Alle ruter'!$AJ$3:$AJ$98,"&lt;="&amp;F$2)/2</f>
        <v>0</v>
      </c>
      <c r="G15" s="3">
        <f>SUMIFS('Alle ruter'!$AC$3:$AC$98,'Alle ruter'!$Z$3:$Z$98,"H2",'Alle ruter'!$I$3:$I$98,$A15,'Alle ruter'!$AJ$3:$AJ$98,"&lt;="&amp;G$2)/2+SUMIFS('Alle ruter'!$AC$3:$AC$98,'Alle ruter'!$Z$3:$Z$98,"H2",'Alle ruter'!$J$3:$J$98,$A15,'Alle ruter'!$AJ$3:$AJ$98,"&lt;="&amp;G$2)/2</f>
        <v>0</v>
      </c>
      <c r="H15" s="3">
        <f>SUMIFS('Alle ruter'!$AC$3:$AC$98,'Alle ruter'!$Z$3:$Z$98,"H2",'Alle ruter'!$I$3:$I$98,$A15,'Alle ruter'!$AJ$3:$AJ$98,"&lt;="&amp;H$2)/2+SUMIFS('Alle ruter'!$AC$3:$AC$98,'Alle ruter'!$Z$3:$Z$98,"H2",'Alle ruter'!$J$3:$J$98,$A15,'Alle ruter'!$AJ$3:$AJ$98,"&lt;="&amp;H$2)/2</f>
        <v>0</v>
      </c>
      <c r="I15" s="3">
        <f>SUMIFS('Alle ruter'!$AC$3:$AC$98,'Alle ruter'!$Z$3:$Z$98,"H2",'Alle ruter'!$I$3:$I$98,$A15,'Alle ruter'!$AJ$3:$AJ$98,"&lt;="&amp;I$2)/2+SUMIFS('Alle ruter'!$AC$3:$AC$98,'Alle ruter'!$Z$3:$Z$98,"H2",'Alle ruter'!$J$3:$J$98,$A15,'Alle ruter'!$AJ$3:$AJ$98,"&lt;="&amp;I$2)/2</f>
        <v>744.72738413211573</v>
      </c>
      <c r="J15" s="3">
        <f>SUMIFS('Alle ruter'!$AC$3:$AC$98,'Alle ruter'!$Z$3:$Z$98,"H2",'Alle ruter'!$I$3:$I$98,$A15,'Alle ruter'!$AJ$3:$AJ$98,"&lt;="&amp;J$2)/2+SUMIFS('Alle ruter'!$AC$3:$AC$98,'Alle ruter'!$Z$3:$Z$98,"H2",'Alle ruter'!$J$3:$J$98,$A15,'Alle ruter'!$AJ$3:$AJ$98,"&lt;="&amp;J$2)/2</f>
        <v>744.72738413211573</v>
      </c>
      <c r="K15" s="3">
        <f>SUMIFS('Alle ruter'!$AC$3:$AC$98,'Alle ruter'!$Z$3:$Z$98,"H2",'Alle ruter'!$I$3:$I$98,$A15,'Alle ruter'!$AJ$3:$AJ$98,"&lt;="&amp;K$2)/2+SUMIFS('Alle ruter'!$AC$3:$AC$98,'Alle ruter'!$Z$3:$Z$98,"H2",'Alle ruter'!$J$3:$J$98,$A15,'Alle ruter'!$AJ$3:$AJ$98,"&lt;="&amp;K$2)/2</f>
        <v>744.72738413211573</v>
      </c>
      <c r="L15" s="3">
        <f>SUMIFS('Alle ruter'!$AC$3:$AC$98,'Alle ruter'!$Z$3:$Z$98,"H2",'Alle ruter'!$I$3:$I$98,$A15,'Alle ruter'!$AJ$3:$AJ$98,"&lt;="&amp;L$2)/2+SUMIFS('Alle ruter'!$AC$3:$AC$98,'Alle ruter'!$Z$3:$Z$98,"H2",'Alle ruter'!$J$3:$J$98,$A15,'Alle ruter'!$AJ$3:$AJ$98,"&lt;="&amp;L$2)/2</f>
        <v>744.72738413211573</v>
      </c>
      <c r="M15" s="3">
        <f>SUMIFS('Alle ruter'!$AC$3:$AC$98,'Alle ruter'!$Z$3:$Z$98,"H2",'Alle ruter'!$I$3:$I$98,$A15,'Alle ruter'!$AJ$3:$AJ$98,"&lt;="&amp;M$2)/2+SUMIFS('Alle ruter'!$AC$3:$AC$98,'Alle ruter'!$Z$3:$Z$98,"H2",'Alle ruter'!$J$3:$J$98,$A15,'Alle ruter'!$AJ$3:$AJ$98,"&lt;="&amp;M$2)/2</f>
        <v>744.72738413211573</v>
      </c>
      <c r="N15" s="3">
        <f>SUMIFS('Alle ruter'!$AC$3:$AC$98,'Alle ruter'!$Z$3:$Z$98,"H2",'Alle ruter'!$I$3:$I$98,$A15,'Alle ruter'!$AJ$3:$AJ$98,"&lt;="&amp;N$2)/2+SUMIFS('Alle ruter'!$AC$3:$AC$98,'Alle ruter'!$Z$3:$Z$98,"H2",'Alle ruter'!$J$3:$J$98,$A15,'Alle ruter'!$AJ$3:$AJ$98,"&lt;="&amp;N$2)/2</f>
        <v>744.72738413211573</v>
      </c>
      <c r="O15" s="3">
        <f>SUMIFS('Alle ruter'!$AC$3:$AC$98,'Alle ruter'!$Z$3:$Z$98,"H2",'Alle ruter'!$I$3:$I$98,$A15,'Alle ruter'!$AJ$3:$AJ$98,"&lt;="&amp;O$2)/2+SUMIFS('Alle ruter'!$AC$3:$AC$98,'Alle ruter'!$Z$3:$Z$98,"H2",'Alle ruter'!$J$3:$J$98,$A15,'Alle ruter'!$AJ$3:$AJ$98,"&lt;="&amp;O$2)/2</f>
        <v>744.72738413211573</v>
      </c>
      <c r="P15" s="3">
        <f>SUMIFS('Alle ruter'!$AC$3:$AC$98,'Alle ruter'!$Z$3:$Z$98,"H2",'Alle ruter'!$I$3:$I$98,$A15,'Alle ruter'!$AJ$3:$AJ$98,"&lt;="&amp;P$2)/2+SUMIFS('Alle ruter'!$AC$3:$AC$98,'Alle ruter'!$Z$3:$Z$98,"H2",'Alle ruter'!$J$3:$J$98,$A15,'Alle ruter'!$AJ$3:$AJ$98,"&lt;="&amp;P$2)/2</f>
        <v>744.72738413211573</v>
      </c>
      <c r="Q15" s="3">
        <f>SUMIFS('Alle ruter'!$AC$3:$AC$98,'Alle ruter'!$Z$3:$Z$98,"H2",'Alle ruter'!$I$3:$I$98,$A15,'Alle ruter'!$AJ$3:$AJ$98,"&lt;="&amp;Q$2)/2+SUMIFS('Alle ruter'!$AC$3:$AC$98,'Alle ruter'!$Z$3:$Z$98,"H2",'Alle ruter'!$J$3:$J$98,$A15,'Alle ruter'!$AJ$3:$AJ$98,"&lt;="&amp;Q$2)/2</f>
        <v>744.72738413211573</v>
      </c>
      <c r="R15" s="3">
        <f>SUMIFS('Alle ruter'!$AC$3:$AC$98,'Alle ruter'!$Z$3:$Z$98,"H2",'Alle ruter'!$I$3:$I$98,$A15,'Alle ruter'!$AJ$3:$AJ$98,"&lt;="&amp;R$2)/2+SUMIFS('Alle ruter'!$AC$3:$AC$98,'Alle ruter'!$Z$3:$Z$98,"H2",'Alle ruter'!$J$3:$J$98,$A15,'Alle ruter'!$AJ$3:$AJ$98,"&lt;="&amp;R$2)/2</f>
        <v>744.72738413211573</v>
      </c>
      <c r="S15" s="3">
        <f>SUMIFS('Alle ruter'!$AC$3:$AC$98,'Alle ruter'!$Z$3:$Z$98,"H2",'Alle ruter'!$I$3:$I$98,$A15,'Alle ruter'!$AJ$3:$AJ$98,"&lt;="&amp;S$2)/2+SUMIFS('Alle ruter'!$AC$3:$AC$98,'Alle ruter'!$Z$3:$Z$98,"H2",'Alle ruter'!$J$3:$J$98,$A15,'Alle ruter'!$AJ$3:$AJ$98,"&lt;="&amp;S$2)/2</f>
        <v>744.72738413211573</v>
      </c>
      <c r="T15" s="3"/>
    </row>
    <row r="16" spans="1:20" x14ac:dyDescent="0.3">
      <c r="A16" t="s">
        <v>149</v>
      </c>
      <c r="B16" t="s">
        <v>8</v>
      </c>
      <c r="C16" s="3">
        <f>COUNTIF('Alle ruter'!$I$3:$I$98,'H2 pr endeplass'!A17)+COUNTIFS('Alle ruter'!$J$3:$J$98,'H2 pr endeplass'!A17,'Alle ruter'!$K$3:$K$98,"Nei")</f>
        <v>1</v>
      </c>
      <c r="D16" s="3">
        <f>COUNTIFS('Alle ruter'!$I$3:$I$98,'H2 pr endeplass'!A17,'Alle ruter'!$Z$3:$Z$98,"H2")+COUNTIFS('Alle ruter'!$J$3:$J$98,'H2 pr endeplass'!A17,'Alle ruter'!$K$3:$K$98,"Nei",'Alle ruter'!$Z$3:$Z$98,"H2")</f>
        <v>1</v>
      </c>
      <c r="E16">
        <v>0</v>
      </c>
      <c r="F16" s="3">
        <f>SUMIFS('Alle ruter'!$AC$3:$AC$98,'Alle ruter'!$Z$3:$Z$98,"H2",'Alle ruter'!$I$3:$I$98,$A16,'Alle ruter'!$AJ$3:$AJ$98,"&lt;="&amp;F$2)/2+SUMIFS('Alle ruter'!$AC$3:$AC$98,'Alle ruter'!$Z$3:$Z$98,"H2",'Alle ruter'!$J$3:$J$98,$A16,'Alle ruter'!$AJ$3:$AJ$98,"&lt;="&amp;F$2)/2</f>
        <v>0</v>
      </c>
      <c r="G16" s="3">
        <f>SUMIFS('Alle ruter'!$AC$3:$AC$98,'Alle ruter'!$Z$3:$Z$98,"H2",'Alle ruter'!$I$3:$I$98,$A16,'Alle ruter'!$AJ$3:$AJ$98,"&lt;="&amp;G$2)/2+SUMIFS('Alle ruter'!$AC$3:$AC$98,'Alle ruter'!$Z$3:$Z$98,"H2",'Alle ruter'!$J$3:$J$98,$A16,'Alle ruter'!$AJ$3:$AJ$98,"&lt;="&amp;G$2)/2</f>
        <v>0</v>
      </c>
      <c r="H16" s="3">
        <f>SUMIFS('Alle ruter'!$AC$3:$AC$98,'Alle ruter'!$Z$3:$Z$98,"H2",'Alle ruter'!$I$3:$I$98,$A16,'Alle ruter'!$AJ$3:$AJ$98,"&lt;="&amp;H$2)/2+SUMIFS('Alle ruter'!$AC$3:$AC$98,'Alle ruter'!$Z$3:$Z$98,"H2",'Alle ruter'!$J$3:$J$98,$A16,'Alle ruter'!$AJ$3:$AJ$98,"&lt;="&amp;H$2)/2</f>
        <v>0</v>
      </c>
      <c r="I16" s="3">
        <f>SUMIFS('Alle ruter'!$AC$3:$AC$98,'Alle ruter'!$Z$3:$Z$98,"H2",'Alle ruter'!$I$3:$I$98,$A16,'Alle ruter'!$AJ$3:$AJ$98,"&lt;="&amp;I$2)/2+SUMIFS('Alle ruter'!$AC$3:$AC$98,'Alle ruter'!$Z$3:$Z$98,"H2",'Alle ruter'!$J$3:$J$98,$A16,'Alle ruter'!$AJ$3:$AJ$98,"&lt;="&amp;I$2)/2</f>
        <v>0</v>
      </c>
      <c r="J16" s="3">
        <f>SUMIFS('Alle ruter'!$AC$3:$AC$98,'Alle ruter'!$Z$3:$Z$98,"H2",'Alle ruter'!$I$3:$I$98,$A16,'Alle ruter'!$AJ$3:$AJ$98,"&lt;="&amp;J$2)/2+SUMIFS('Alle ruter'!$AC$3:$AC$98,'Alle ruter'!$Z$3:$Z$98,"H2",'Alle ruter'!$J$3:$J$98,$A16,'Alle ruter'!$AJ$3:$AJ$98,"&lt;="&amp;J$2)/2</f>
        <v>602.03417899543376</v>
      </c>
      <c r="K16" s="3">
        <f>SUMIFS('Alle ruter'!$AC$3:$AC$98,'Alle ruter'!$Z$3:$Z$98,"H2",'Alle ruter'!$I$3:$I$98,$A16,'Alle ruter'!$AJ$3:$AJ$98,"&lt;="&amp;K$2)/2+SUMIFS('Alle ruter'!$AC$3:$AC$98,'Alle ruter'!$Z$3:$Z$98,"H2",'Alle ruter'!$J$3:$J$98,$A16,'Alle ruter'!$AJ$3:$AJ$98,"&lt;="&amp;K$2)/2</f>
        <v>602.03417899543376</v>
      </c>
      <c r="L16" s="3">
        <f>SUMIFS('Alle ruter'!$AC$3:$AC$98,'Alle ruter'!$Z$3:$Z$98,"H2",'Alle ruter'!$I$3:$I$98,$A16,'Alle ruter'!$AJ$3:$AJ$98,"&lt;="&amp;L$2)/2+SUMIFS('Alle ruter'!$AC$3:$AC$98,'Alle ruter'!$Z$3:$Z$98,"H2",'Alle ruter'!$J$3:$J$98,$A16,'Alle ruter'!$AJ$3:$AJ$98,"&lt;="&amp;L$2)/2</f>
        <v>602.03417899543376</v>
      </c>
      <c r="M16" s="3">
        <f>SUMIFS('Alle ruter'!$AC$3:$AC$98,'Alle ruter'!$Z$3:$Z$98,"H2",'Alle ruter'!$I$3:$I$98,$A16,'Alle ruter'!$AJ$3:$AJ$98,"&lt;="&amp;M$2)/2+SUMIFS('Alle ruter'!$AC$3:$AC$98,'Alle ruter'!$Z$3:$Z$98,"H2",'Alle ruter'!$J$3:$J$98,$A16,'Alle ruter'!$AJ$3:$AJ$98,"&lt;="&amp;M$2)/2</f>
        <v>602.03417899543376</v>
      </c>
      <c r="N16" s="3">
        <f>SUMIFS('Alle ruter'!$AC$3:$AC$98,'Alle ruter'!$Z$3:$Z$98,"H2",'Alle ruter'!$I$3:$I$98,$A16,'Alle ruter'!$AJ$3:$AJ$98,"&lt;="&amp;N$2)/2+SUMIFS('Alle ruter'!$AC$3:$AC$98,'Alle ruter'!$Z$3:$Z$98,"H2",'Alle ruter'!$J$3:$J$98,$A16,'Alle ruter'!$AJ$3:$AJ$98,"&lt;="&amp;N$2)/2</f>
        <v>602.03417899543376</v>
      </c>
      <c r="O16" s="3">
        <f>SUMIFS('Alle ruter'!$AC$3:$AC$98,'Alle ruter'!$Z$3:$Z$98,"H2",'Alle ruter'!$I$3:$I$98,$A16,'Alle ruter'!$AJ$3:$AJ$98,"&lt;="&amp;O$2)/2+SUMIFS('Alle ruter'!$AC$3:$AC$98,'Alle ruter'!$Z$3:$Z$98,"H2",'Alle ruter'!$J$3:$J$98,$A16,'Alle ruter'!$AJ$3:$AJ$98,"&lt;="&amp;O$2)/2</f>
        <v>602.03417899543376</v>
      </c>
      <c r="P16" s="3">
        <f>SUMIFS('Alle ruter'!$AC$3:$AC$98,'Alle ruter'!$Z$3:$Z$98,"H2",'Alle ruter'!$I$3:$I$98,$A16,'Alle ruter'!$AJ$3:$AJ$98,"&lt;="&amp;P$2)/2+SUMIFS('Alle ruter'!$AC$3:$AC$98,'Alle ruter'!$Z$3:$Z$98,"H2",'Alle ruter'!$J$3:$J$98,$A16,'Alle ruter'!$AJ$3:$AJ$98,"&lt;="&amp;P$2)/2</f>
        <v>602.03417899543376</v>
      </c>
      <c r="Q16" s="3">
        <f>SUMIFS('Alle ruter'!$AC$3:$AC$98,'Alle ruter'!$Z$3:$Z$98,"H2",'Alle ruter'!$I$3:$I$98,$A16,'Alle ruter'!$AJ$3:$AJ$98,"&lt;="&amp;Q$2)/2+SUMIFS('Alle ruter'!$AC$3:$AC$98,'Alle ruter'!$Z$3:$Z$98,"H2",'Alle ruter'!$J$3:$J$98,$A16,'Alle ruter'!$AJ$3:$AJ$98,"&lt;="&amp;Q$2)/2</f>
        <v>602.03417899543376</v>
      </c>
      <c r="R16" s="3">
        <f>SUMIFS('Alle ruter'!$AC$3:$AC$98,'Alle ruter'!$Z$3:$Z$98,"H2",'Alle ruter'!$I$3:$I$98,$A16,'Alle ruter'!$AJ$3:$AJ$98,"&lt;="&amp;R$2)/2+SUMIFS('Alle ruter'!$AC$3:$AC$98,'Alle ruter'!$Z$3:$Z$98,"H2",'Alle ruter'!$J$3:$J$98,$A16,'Alle ruter'!$AJ$3:$AJ$98,"&lt;="&amp;R$2)/2</f>
        <v>602.03417899543376</v>
      </c>
      <c r="S16" s="3">
        <f>SUMIFS('Alle ruter'!$AC$3:$AC$98,'Alle ruter'!$Z$3:$Z$98,"H2",'Alle ruter'!$I$3:$I$98,$A16,'Alle ruter'!$AJ$3:$AJ$98,"&lt;="&amp;S$2)/2+SUMIFS('Alle ruter'!$AC$3:$AC$98,'Alle ruter'!$Z$3:$Z$98,"H2",'Alle ruter'!$J$3:$J$98,$A16,'Alle ruter'!$AJ$3:$AJ$98,"&lt;="&amp;S$2)/2</f>
        <v>602.03417899543376</v>
      </c>
      <c r="T16" s="3"/>
    </row>
    <row r="17" spans="1:20" x14ac:dyDescent="0.3">
      <c r="A17" t="s">
        <v>128</v>
      </c>
      <c r="B17" t="s">
        <v>11</v>
      </c>
      <c r="C17" s="3">
        <f>COUNTIF('Alle ruter'!$I$3:$I$98,'H2 pr endeplass'!A18)+COUNTIFS('Alle ruter'!$J$3:$J$98,'H2 pr endeplass'!A18,'Alle ruter'!$K$3:$K$98,"Nei")</f>
        <v>4</v>
      </c>
      <c r="D17" s="3">
        <f>COUNTIFS('Alle ruter'!$I$3:$I$98,'H2 pr endeplass'!A18,'Alle ruter'!$Z$3:$Z$98,"H2")+COUNTIFS('Alle ruter'!$J$3:$J$98,'H2 pr endeplass'!A18,'Alle ruter'!$K$3:$K$98,"Nei",'Alle ruter'!$Z$3:$Z$98,"H2")</f>
        <v>2</v>
      </c>
      <c r="E17">
        <v>0</v>
      </c>
      <c r="F17" s="3">
        <f>SUMIFS('Alle ruter'!$AC$3:$AC$98,'Alle ruter'!$Z$3:$Z$98,"H2",'Alle ruter'!$I$3:$I$98,$A17,'Alle ruter'!$AJ$3:$AJ$98,"&lt;="&amp;F$2)/2+SUMIFS('Alle ruter'!$AC$3:$AC$98,'Alle ruter'!$Z$3:$Z$98,"H2",'Alle ruter'!$J$3:$J$98,$A17,'Alle ruter'!$AJ$3:$AJ$98,"&lt;="&amp;F$2)/2</f>
        <v>0</v>
      </c>
      <c r="G17" s="3">
        <f>SUMIFS('Alle ruter'!$AC$3:$AC$98,'Alle ruter'!$Z$3:$Z$98,"H2",'Alle ruter'!$I$3:$I$98,$A17,'Alle ruter'!$AJ$3:$AJ$98,"&lt;="&amp;G$2)/2+SUMIFS('Alle ruter'!$AC$3:$AC$98,'Alle ruter'!$Z$3:$Z$98,"H2",'Alle ruter'!$J$3:$J$98,$A17,'Alle ruter'!$AJ$3:$AJ$98,"&lt;="&amp;G$2)/2</f>
        <v>0</v>
      </c>
      <c r="H17" s="3">
        <f>SUMIFS('Alle ruter'!$AC$3:$AC$98,'Alle ruter'!$Z$3:$Z$98,"H2",'Alle ruter'!$I$3:$I$98,$A17,'Alle ruter'!$AJ$3:$AJ$98,"&lt;="&amp;H$2)/2+SUMIFS('Alle ruter'!$AC$3:$AC$98,'Alle ruter'!$Z$3:$Z$98,"H2",'Alle ruter'!$J$3:$J$98,$A17,'Alle ruter'!$AJ$3:$AJ$98,"&lt;="&amp;H$2)/2</f>
        <v>586.04101015342462</v>
      </c>
      <c r="I17" s="3">
        <f>SUMIFS('Alle ruter'!$AC$3:$AC$98,'Alle ruter'!$Z$3:$Z$98,"H2",'Alle ruter'!$I$3:$I$98,$A17,'Alle ruter'!$AJ$3:$AJ$98,"&lt;="&amp;I$2)/2+SUMIFS('Alle ruter'!$AC$3:$AC$98,'Alle ruter'!$Z$3:$Z$98,"H2",'Alle ruter'!$J$3:$J$98,$A17,'Alle ruter'!$AJ$3:$AJ$98,"&lt;="&amp;I$2)/2</f>
        <v>586.04101015342462</v>
      </c>
      <c r="J17" s="3">
        <f>SUMIFS('Alle ruter'!$AC$3:$AC$98,'Alle ruter'!$Z$3:$Z$98,"H2",'Alle ruter'!$I$3:$I$98,$A17,'Alle ruter'!$AJ$3:$AJ$98,"&lt;="&amp;J$2)/2+SUMIFS('Alle ruter'!$AC$3:$AC$98,'Alle ruter'!$Z$3:$Z$98,"H2",'Alle ruter'!$J$3:$J$98,$A17,'Alle ruter'!$AJ$3:$AJ$98,"&lt;="&amp;J$2)/2</f>
        <v>586.04101015342462</v>
      </c>
      <c r="K17" s="3">
        <f>SUMIFS('Alle ruter'!$AC$3:$AC$98,'Alle ruter'!$Z$3:$Z$98,"H2",'Alle ruter'!$I$3:$I$98,$A17,'Alle ruter'!$AJ$3:$AJ$98,"&lt;="&amp;K$2)/2+SUMIFS('Alle ruter'!$AC$3:$AC$98,'Alle ruter'!$Z$3:$Z$98,"H2",'Alle ruter'!$J$3:$J$98,$A17,'Alle ruter'!$AJ$3:$AJ$98,"&lt;="&amp;K$2)/2</f>
        <v>586.04101015342462</v>
      </c>
      <c r="L17" s="3">
        <f>SUMIFS('Alle ruter'!$AC$3:$AC$98,'Alle ruter'!$Z$3:$Z$98,"H2",'Alle ruter'!$I$3:$I$98,$A17,'Alle ruter'!$AJ$3:$AJ$98,"&lt;="&amp;L$2)/2+SUMIFS('Alle ruter'!$AC$3:$AC$98,'Alle ruter'!$Z$3:$Z$98,"H2",'Alle ruter'!$J$3:$J$98,$A17,'Alle ruter'!$AJ$3:$AJ$98,"&lt;="&amp;L$2)/2</f>
        <v>586.04101015342462</v>
      </c>
      <c r="M17" s="3">
        <f>SUMIFS('Alle ruter'!$AC$3:$AC$98,'Alle ruter'!$Z$3:$Z$98,"H2",'Alle ruter'!$I$3:$I$98,$A17,'Alle ruter'!$AJ$3:$AJ$98,"&lt;="&amp;M$2)/2+SUMIFS('Alle ruter'!$AC$3:$AC$98,'Alle ruter'!$Z$3:$Z$98,"H2",'Alle ruter'!$J$3:$J$98,$A17,'Alle ruter'!$AJ$3:$AJ$98,"&lt;="&amp;M$2)/2</f>
        <v>586.04101015342462</v>
      </c>
      <c r="N17" s="3">
        <f>SUMIFS('Alle ruter'!$AC$3:$AC$98,'Alle ruter'!$Z$3:$Z$98,"H2",'Alle ruter'!$I$3:$I$98,$A17,'Alle ruter'!$AJ$3:$AJ$98,"&lt;="&amp;N$2)/2+SUMIFS('Alle ruter'!$AC$3:$AC$98,'Alle ruter'!$Z$3:$Z$98,"H2",'Alle ruter'!$J$3:$J$98,$A17,'Alle ruter'!$AJ$3:$AJ$98,"&lt;="&amp;N$2)/2</f>
        <v>586.04101015342462</v>
      </c>
      <c r="O17" s="3">
        <f>SUMIFS('Alle ruter'!$AC$3:$AC$98,'Alle ruter'!$Z$3:$Z$98,"H2",'Alle ruter'!$I$3:$I$98,$A17,'Alle ruter'!$AJ$3:$AJ$98,"&lt;="&amp;O$2)/2+SUMIFS('Alle ruter'!$AC$3:$AC$98,'Alle ruter'!$Z$3:$Z$98,"H2",'Alle ruter'!$J$3:$J$98,$A17,'Alle ruter'!$AJ$3:$AJ$98,"&lt;="&amp;O$2)/2</f>
        <v>586.04101015342462</v>
      </c>
      <c r="P17" s="3">
        <f>SUMIFS('Alle ruter'!$AC$3:$AC$98,'Alle ruter'!$Z$3:$Z$98,"H2",'Alle ruter'!$I$3:$I$98,$A17,'Alle ruter'!$AJ$3:$AJ$98,"&lt;="&amp;P$2)/2+SUMIFS('Alle ruter'!$AC$3:$AC$98,'Alle ruter'!$Z$3:$Z$98,"H2",'Alle ruter'!$J$3:$J$98,$A17,'Alle ruter'!$AJ$3:$AJ$98,"&lt;="&amp;P$2)/2</f>
        <v>586.04101015342462</v>
      </c>
      <c r="Q17" s="3">
        <f>SUMIFS('Alle ruter'!$AC$3:$AC$98,'Alle ruter'!$Z$3:$Z$98,"H2",'Alle ruter'!$I$3:$I$98,$A17,'Alle ruter'!$AJ$3:$AJ$98,"&lt;="&amp;Q$2)/2+SUMIFS('Alle ruter'!$AC$3:$AC$98,'Alle ruter'!$Z$3:$Z$98,"H2",'Alle ruter'!$J$3:$J$98,$A17,'Alle ruter'!$AJ$3:$AJ$98,"&lt;="&amp;Q$2)/2</f>
        <v>586.04101015342462</v>
      </c>
      <c r="R17" s="3">
        <f>SUMIFS('Alle ruter'!$AC$3:$AC$98,'Alle ruter'!$Z$3:$Z$98,"H2",'Alle ruter'!$I$3:$I$98,$A17,'Alle ruter'!$AJ$3:$AJ$98,"&lt;="&amp;R$2)/2+SUMIFS('Alle ruter'!$AC$3:$AC$98,'Alle ruter'!$Z$3:$Z$98,"H2",'Alle ruter'!$J$3:$J$98,$A17,'Alle ruter'!$AJ$3:$AJ$98,"&lt;="&amp;R$2)/2</f>
        <v>586.04101015342462</v>
      </c>
      <c r="S17" s="3">
        <f>SUMIFS('Alle ruter'!$AC$3:$AC$98,'Alle ruter'!$Z$3:$Z$98,"H2",'Alle ruter'!$I$3:$I$98,$A17,'Alle ruter'!$AJ$3:$AJ$98,"&lt;="&amp;S$2)/2+SUMIFS('Alle ruter'!$AC$3:$AC$98,'Alle ruter'!$Z$3:$Z$98,"H2",'Alle ruter'!$J$3:$J$98,$A17,'Alle ruter'!$AJ$3:$AJ$98,"&lt;="&amp;S$2)/2</f>
        <v>586.04101015342462</v>
      </c>
      <c r="T17" s="3"/>
    </row>
    <row r="18" spans="1:20" x14ac:dyDescent="0.3">
      <c r="A18" t="s">
        <v>123</v>
      </c>
      <c r="B18" s="5" t="s">
        <v>389</v>
      </c>
      <c r="C18" s="3">
        <f>COUNTIF('Alle ruter'!$I$3:$I$98,'H2 pr endeplass'!A19)+COUNTIFS('Alle ruter'!$J$3:$J$98,'H2 pr endeplass'!A19,'Alle ruter'!$K$3:$K$98,"Nei")</f>
        <v>4</v>
      </c>
      <c r="D18" s="3">
        <f>COUNTIFS('Alle ruter'!$I$3:$I$98,'H2 pr endeplass'!A19,'Alle ruter'!$Z$3:$Z$98,"H2")+COUNTIFS('Alle ruter'!$J$3:$J$98,'H2 pr endeplass'!A19,'Alle ruter'!$K$3:$K$98,"Nei",'Alle ruter'!$Z$3:$Z$98,"H2")</f>
        <v>2</v>
      </c>
      <c r="E18">
        <v>0</v>
      </c>
      <c r="F18" s="3">
        <f>SUMIFS('Alle ruter'!$AC$3:$AC$98,'Alle ruter'!$Z$3:$Z$98,"H2",'Alle ruter'!$I$3:$I$98,$A18,'Alle ruter'!$AJ$3:$AJ$98,"&lt;="&amp;F$2)/2+SUMIFS('Alle ruter'!$AC$3:$AC$98,'Alle ruter'!$Z$3:$Z$98,"H2",'Alle ruter'!$J$3:$J$98,$A18,'Alle ruter'!$AJ$3:$AJ$98,"&lt;="&amp;F$2)/2</f>
        <v>0</v>
      </c>
      <c r="G18" s="3">
        <f>SUMIFS('Alle ruter'!$AC$3:$AC$98,'Alle ruter'!$Z$3:$Z$98,"H2",'Alle ruter'!$I$3:$I$98,$A18,'Alle ruter'!$AJ$3:$AJ$98,"&lt;="&amp;G$2)/2+SUMIFS('Alle ruter'!$AC$3:$AC$98,'Alle ruter'!$Z$3:$Z$98,"H2",'Alle ruter'!$J$3:$J$98,$A18,'Alle ruter'!$AJ$3:$AJ$98,"&lt;="&amp;G$2)/2</f>
        <v>0</v>
      </c>
      <c r="H18" s="3">
        <f>SUMIFS('Alle ruter'!$AC$3:$AC$98,'Alle ruter'!$Z$3:$Z$98,"H2",'Alle ruter'!$I$3:$I$98,$A18,'Alle ruter'!$AJ$3:$AJ$98,"&lt;="&amp;H$2)/2+SUMIFS('Alle ruter'!$AC$3:$AC$98,'Alle ruter'!$Z$3:$Z$98,"H2",'Alle ruter'!$J$3:$J$98,$A18,'Alle ruter'!$AJ$3:$AJ$98,"&lt;="&amp;H$2)/2</f>
        <v>0</v>
      </c>
      <c r="I18" s="3">
        <f>SUMIFS('Alle ruter'!$AC$3:$AC$98,'Alle ruter'!$Z$3:$Z$98,"H2",'Alle ruter'!$I$3:$I$98,$A18,'Alle ruter'!$AJ$3:$AJ$98,"&lt;="&amp;I$2)/2+SUMIFS('Alle ruter'!$AC$3:$AC$98,'Alle ruter'!$Z$3:$Z$98,"H2",'Alle ruter'!$J$3:$J$98,$A18,'Alle ruter'!$AJ$3:$AJ$98,"&lt;="&amp;I$2)/2</f>
        <v>520.23605684931499</v>
      </c>
      <c r="J18" s="3">
        <f>SUMIFS('Alle ruter'!$AC$3:$AC$98,'Alle ruter'!$Z$3:$Z$98,"H2",'Alle ruter'!$I$3:$I$98,$A18,'Alle ruter'!$AJ$3:$AJ$98,"&lt;="&amp;J$2)/2+SUMIFS('Alle ruter'!$AC$3:$AC$98,'Alle ruter'!$Z$3:$Z$98,"H2",'Alle ruter'!$J$3:$J$98,$A18,'Alle ruter'!$AJ$3:$AJ$98,"&lt;="&amp;J$2)/2</f>
        <v>520.23605684931499</v>
      </c>
      <c r="K18" s="3">
        <f>SUMIFS('Alle ruter'!$AC$3:$AC$98,'Alle ruter'!$Z$3:$Z$98,"H2",'Alle ruter'!$I$3:$I$98,$A18,'Alle ruter'!$AJ$3:$AJ$98,"&lt;="&amp;K$2)/2+SUMIFS('Alle ruter'!$AC$3:$AC$98,'Alle ruter'!$Z$3:$Z$98,"H2",'Alle ruter'!$J$3:$J$98,$A18,'Alle ruter'!$AJ$3:$AJ$98,"&lt;="&amp;K$2)/2</f>
        <v>520.23605684931499</v>
      </c>
      <c r="L18" s="3">
        <f>SUMIFS('Alle ruter'!$AC$3:$AC$98,'Alle ruter'!$Z$3:$Z$98,"H2",'Alle ruter'!$I$3:$I$98,$A18,'Alle ruter'!$AJ$3:$AJ$98,"&lt;="&amp;L$2)/2+SUMIFS('Alle ruter'!$AC$3:$AC$98,'Alle ruter'!$Z$3:$Z$98,"H2",'Alle ruter'!$J$3:$J$98,$A18,'Alle ruter'!$AJ$3:$AJ$98,"&lt;="&amp;L$2)/2</f>
        <v>520.23605684931499</v>
      </c>
      <c r="M18" s="3">
        <f>SUMIFS('Alle ruter'!$AC$3:$AC$98,'Alle ruter'!$Z$3:$Z$98,"H2",'Alle ruter'!$I$3:$I$98,$A18,'Alle ruter'!$AJ$3:$AJ$98,"&lt;="&amp;M$2)/2+SUMIFS('Alle ruter'!$AC$3:$AC$98,'Alle ruter'!$Z$3:$Z$98,"H2",'Alle ruter'!$J$3:$J$98,$A18,'Alle ruter'!$AJ$3:$AJ$98,"&lt;="&amp;M$2)/2</f>
        <v>520.23605684931499</v>
      </c>
      <c r="N18" s="3">
        <f>SUMIFS('Alle ruter'!$AC$3:$AC$98,'Alle ruter'!$Z$3:$Z$98,"H2",'Alle ruter'!$I$3:$I$98,$A18,'Alle ruter'!$AJ$3:$AJ$98,"&lt;="&amp;N$2)/2+SUMIFS('Alle ruter'!$AC$3:$AC$98,'Alle ruter'!$Z$3:$Z$98,"H2",'Alle ruter'!$J$3:$J$98,$A18,'Alle ruter'!$AJ$3:$AJ$98,"&lt;="&amp;N$2)/2</f>
        <v>520.23605684931499</v>
      </c>
      <c r="O18" s="3">
        <f>SUMIFS('Alle ruter'!$AC$3:$AC$98,'Alle ruter'!$Z$3:$Z$98,"H2",'Alle ruter'!$I$3:$I$98,$A18,'Alle ruter'!$AJ$3:$AJ$98,"&lt;="&amp;O$2)/2+SUMIFS('Alle ruter'!$AC$3:$AC$98,'Alle ruter'!$Z$3:$Z$98,"H2",'Alle ruter'!$J$3:$J$98,$A18,'Alle ruter'!$AJ$3:$AJ$98,"&lt;="&amp;O$2)/2</f>
        <v>520.23605684931499</v>
      </c>
      <c r="P18" s="3">
        <f>SUMIFS('Alle ruter'!$AC$3:$AC$98,'Alle ruter'!$Z$3:$Z$98,"H2",'Alle ruter'!$I$3:$I$98,$A18,'Alle ruter'!$AJ$3:$AJ$98,"&lt;="&amp;P$2)/2+SUMIFS('Alle ruter'!$AC$3:$AC$98,'Alle ruter'!$Z$3:$Z$98,"H2",'Alle ruter'!$J$3:$J$98,$A18,'Alle ruter'!$AJ$3:$AJ$98,"&lt;="&amp;P$2)/2</f>
        <v>520.23605684931499</v>
      </c>
      <c r="Q18" s="3">
        <f>SUMIFS('Alle ruter'!$AC$3:$AC$98,'Alle ruter'!$Z$3:$Z$98,"H2",'Alle ruter'!$I$3:$I$98,$A18,'Alle ruter'!$AJ$3:$AJ$98,"&lt;="&amp;Q$2)/2+SUMIFS('Alle ruter'!$AC$3:$AC$98,'Alle ruter'!$Z$3:$Z$98,"H2",'Alle ruter'!$J$3:$J$98,$A18,'Alle ruter'!$AJ$3:$AJ$98,"&lt;="&amp;Q$2)/2</f>
        <v>520.23605684931499</v>
      </c>
      <c r="R18" s="3">
        <f>SUMIFS('Alle ruter'!$AC$3:$AC$98,'Alle ruter'!$Z$3:$Z$98,"H2",'Alle ruter'!$I$3:$I$98,$A18,'Alle ruter'!$AJ$3:$AJ$98,"&lt;="&amp;R$2)/2+SUMIFS('Alle ruter'!$AC$3:$AC$98,'Alle ruter'!$Z$3:$Z$98,"H2",'Alle ruter'!$J$3:$J$98,$A18,'Alle ruter'!$AJ$3:$AJ$98,"&lt;="&amp;R$2)/2</f>
        <v>520.23605684931499</v>
      </c>
      <c r="S18" s="3">
        <f>SUMIFS('Alle ruter'!$AC$3:$AC$98,'Alle ruter'!$Z$3:$Z$98,"H2",'Alle ruter'!$I$3:$I$98,$A18,'Alle ruter'!$AJ$3:$AJ$98,"&lt;="&amp;S$2)/2+SUMIFS('Alle ruter'!$AC$3:$AC$98,'Alle ruter'!$Z$3:$Z$98,"H2",'Alle ruter'!$J$3:$J$98,$A18,'Alle ruter'!$AJ$3:$AJ$98,"&lt;="&amp;S$2)/2</f>
        <v>520.23605684931499</v>
      </c>
      <c r="T18" s="3"/>
    </row>
    <row r="19" spans="1:20" x14ac:dyDescent="0.3">
      <c r="A19" t="s">
        <v>139</v>
      </c>
      <c r="B19" t="s">
        <v>388</v>
      </c>
      <c r="C19" s="3">
        <f>COUNTIF('Alle ruter'!$I$3:$I$98,'H2 pr endeplass'!A16)+COUNTIFS('Alle ruter'!$J$3:$J$98,'H2 pr endeplass'!A16,'Alle ruter'!$K$3:$K$98,"Nei")</f>
        <v>3</v>
      </c>
      <c r="D19" s="3">
        <f>COUNTIFS('Alle ruter'!$I$3:$I$98,'H2 pr endeplass'!A16,'Alle ruter'!$Z$3:$Z$98,"H2")+COUNTIFS('Alle ruter'!$J$3:$J$98,'H2 pr endeplass'!A16,'Alle ruter'!$K$3:$K$98,"Nei",'Alle ruter'!$Z$3:$Z$98,"H2")</f>
        <v>1</v>
      </c>
      <c r="E19">
        <v>0</v>
      </c>
      <c r="F19" s="3">
        <f>SUMIFS('Alle ruter'!$AC$3:$AC$98,'Alle ruter'!$Z$3:$Z$98,"H2",'Alle ruter'!$I$3:$I$98,$A19,'Alle ruter'!$AJ$3:$AJ$98,"&lt;="&amp;F$2)/2+SUMIFS('Alle ruter'!$AC$3:$AC$98,'Alle ruter'!$Z$3:$Z$98,"H2",'Alle ruter'!$J$3:$J$98,$A19,'Alle ruter'!$AJ$3:$AJ$98,"&lt;="&amp;F$2)/2</f>
        <v>0</v>
      </c>
      <c r="G19" s="3">
        <f>SUMIFS('Alle ruter'!$AC$3:$AC$98,'Alle ruter'!$Z$3:$Z$98,"H2",'Alle ruter'!$I$3:$I$98,$A19,'Alle ruter'!$AJ$3:$AJ$98,"&lt;="&amp;G$2)/2+SUMIFS('Alle ruter'!$AC$3:$AC$98,'Alle ruter'!$Z$3:$Z$98,"H2",'Alle ruter'!$J$3:$J$98,$A19,'Alle ruter'!$AJ$3:$AJ$98,"&lt;="&amp;G$2)/2</f>
        <v>0</v>
      </c>
      <c r="H19" s="3">
        <f>SUMIFS('Alle ruter'!$AC$3:$AC$98,'Alle ruter'!$Z$3:$Z$98,"H2",'Alle ruter'!$I$3:$I$98,$A19,'Alle ruter'!$AJ$3:$AJ$98,"&lt;="&amp;H$2)/2+SUMIFS('Alle ruter'!$AC$3:$AC$98,'Alle ruter'!$Z$3:$Z$98,"H2",'Alle ruter'!$J$3:$J$98,$A19,'Alle ruter'!$AJ$3:$AJ$98,"&lt;="&amp;H$2)/2</f>
        <v>433.77871366575346</v>
      </c>
      <c r="I19" s="3">
        <f>SUMIFS('Alle ruter'!$AC$3:$AC$98,'Alle ruter'!$Z$3:$Z$98,"H2",'Alle ruter'!$I$3:$I$98,$A19,'Alle ruter'!$AJ$3:$AJ$98,"&lt;="&amp;I$2)/2+SUMIFS('Alle ruter'!$AC$3:$AC$98,'Alle ruter'!$Z$3:$Z$98,"H2",'Alle ruter'!$J$3:$J$98,$A19,'Alle ruter'!$AJ$3:$AJ$98,"&lt;="&amp;I$2)/2</f>
        <v>433.77871366575346</v>
      </c>
      <c r="J19" s="3">
        <f>SUMIFS('Alle ruter'!$AC$3:$AC$98,'Alle ruter'!$Z$3:$Z$98,"H2",'Alle ruter'!$I$3:$I$98,$A19,'Alle ruter'!$AJ$3:$AJ$98,"&lt;="&amp;J$2)/2+SUMIFS('Alle ruter'!$AC$3:$AC$98,'Alle ruter'!$Z$3:$Z$98,"H2",'Alle ruter'!$J$3:$J$98,$A19,'Alle ruter'!$AJ$3:$AJ$98,"&lt;="&amp;J$2)/2</f>
        <v>433.77871366575346</v>
      </c>
      <c r="K19" s="3">
        <f>SUMIFS('Alle ruter'!$AC$3:$AC$98,'Alle ruter'!$Z$3:$Z$98,"H2",'Alle ruter'!$I$3:$I$98,$A19,'Alle ruter'!$AJ$3:$AJ$98,"&lt;="&amp;K$2)/2+SUMIFS('Alle ruter'!$AC$3:$AC$98,'Alle ruter'!$Z$3:$Z$98,"H2",'Alle ruter'!$J$3:$J$98,$A19,'Alle ruter'!$AJ$3:$AJ$98,"&lt;="&amp;K$2)/2</f>
        <v>433.77871366575346</v>
      </c>
      <c r="L19" s="3">
        <f>SUMIFS('Alle ruter'!$AC$3:$AC$98,'Alle ruter'!$Z$3:$Z$98,"H2",'Alle ruter'!$I$3:$I$98,$A19,'Alle ruter'!$AJ$3:$AJ$98,"&lt;="&amp;L$2)/2+SUMIFS('Alle ruter'!$AC$3:$AC$98,'Alle ruter'!$Z$3:$Z$98,"H2",'Alle ruter'!$J$3:$J$98,$A19,'Alle ruter'!$AJ$3:$AJ$98,"&lt;="&amp;L$2)/2</f>
        <v>433.77871366575346</v>
      </c>
      <c r="M19" s="3">
        <f>SUMIFS('Alle ruter'!$AC$3:$AC$98,'Alle ruter'!$Z$3:$Z$98,"H2",'Alle ruter'!$I$3:$I$98,$A19,'Alle ruter'!$AJ$3:$AJ$98,"&lt;="&amp;M$2)/2+SUMIFS('Alle ruter'!$AC$3:$AC$98,'Alle ruter'!$Z$3:$Z$98,"H2",'Alle ruter'!$J$3:$J$98,$A19,'Alle ruter'!$AJ$3:$AJ$98,"&lt;="&amp;M$2)/2</f>
        <v>433.77871366575346</v>
      </c>
      <c r="N19" s="3">
        <f>SUMIFS('Alle ruter'!$AC$3:$AC$98,'Alle ruter'!$Z$3:$Z$98,"H2",'Alle ruter'!$I$3:$I$98,$A19,'Alle ruter'!$AJ$3:$AJ$98,"&lt;="&amp;N$2)/2+SUMIFS('Alle ruter'!$AC$3:$AC$98,'Alle ruter'!$Z$3:$Z$98,"H2",'Alle ruter'!$J$3:$J$98,$A19,'Alle ruter'!$AJ$3:$AJ$98,"&lt;="&amp;N$2)/2</f>
        <v>433.77871366575346</v>
      </c>
      <c r="O19" s="3">
        <f>SUMIFS('Alle ruter'!$AC$3:$AC$98,'Alle ruter'!$Z$3:$Z$98,"H2",'Alle ruter'!$I$3:$I$98,$A19,'Alle ruter'!$AJ$3:$AJ$98,"&lt;="&amp;O$2)/2+SUMIFS('Alle ruter'!$AC$3:$AC$98,'Alle ruter'!$Z$3:$Z$98,"H2",'Alle ruter'!$J$3:$J$98,$A19,'Alle ruter'!$AJ$3:$AJ$98,"&lt;="&amp;O$2)/2</f>
        <v>433.77871366575346</v>
      </c>
      <c r="P19" s="3">
        <f>SUMIFS('Alle ruter'!$AC$3:$AC$98,'Alle ruter'!$Z$3:$Z$98,"H2",'Alle ruter'!$I$3:$I$98,$A19,'Alle ruter'!$AJ$3:$AJ$98,"&lt;="&amp;P$2)/2+SUMIFS('Alle ruter'!$AC$3:$AC$98,'Alle ruter'!$Z$3:$Z$98,"H2",'Alle ruter'!$J$3:$J$98,$A19,'Alle ruter'!$AJ$3:$AJ$98,"&lt;="&amp;P$2)/2</f>
        <v>433.77871366575346</v>
      </c>
      <c r="Q19" s="3">
        <f>SUMIFS('Alle ruter'!$AC$3:$AC$98,'Alle ruter'!$Z$3:$Z$98,"H2",'Alle ruter'!$I$3:$I$98,$A19,'Alle ruter'!$AJ$3:$AJ$98,"&lt;="&amp;Q$2)/2+SUMIFS('Alle ruter'!$AC$3:$AC$98,'Alle ruter'!$Z$3:$Z$98,"H2",'Alle ruter'!$J$3:$J$98,$A19,'Alle ruter'!$AJ$3:$AJ$98,"&lt;="&amp;Q$2)/2</f>
        <v>433.77871366575346</v>
      </c>
      <c r="R19" s="3">
        <f>SUMIFS('Alle ruter'!$AC$3:$AC$98,'Alle ruter'!$Z$3:$Z$98,"H2",'Alle ruter'!$I$3:$I$98,$A19,'Alle ruter'!$AJ$3:$AJ$98,"&lt;="&amp;R$2)/2+SUMIFS('Alle ruter'!$AC$3:$AC$98,'Alle ruter'!$Z$3:$Z$98,"H2",'Alle ruter'!$J$3:$J$98,$A19,'Alle ruter'!$AJ$3:$AJ$98,"&lt;="&amp;R$2)/2</f>
        <v>433.77871366575346</v>
      </c>
      <c r="S19" s="3">
        <f>SUMIFS('Alle ruter'!$AC$3:$AC$98,'Alle ruter'!$Z$3:$Z$98,"H2",'Alle ruter'!$I$3:$I$98,$A19,'Alle ruter'!$AJ$3:$AJ$98,"&lt;="&amp;S$2)/2+SUMIFS('Alle ruter'!$AC$3:$AC$98,'Alle ruter'!$Z$3:$Z$98,"H2",'Alle ruter'!$J$3:$J$98,$A19,'Alle ruter'!$AJ$3:$AJ$98,"&lt;="&amp;S$2)/2</f>
        <v>433.77871366575346</v>
      </c>
      <c r="T19" s="3"/>
    </row>
    <row r="20" spans="1:20" x14ac:dyDescent="0.3">
      <c r="A20" t="s">
        <v>108</v>
      </c>
      <c r="B20" t="s">
        <v>388</v>
      </c>
      <c r="C20" s="3">
        <f>COUNTIF('Alle ruter'!$I$3:$I$98,'H2 pr endeplass'!A20)+COUNTIFS('Alle ruter'!$J$3:$J$98,'H2 pr endeplass'!A20,'Alle ruter'!$K$3:$K$98,"Nei")</f>
        <v>1</v>
      </c>
      <c r="D20" s="3">
        <f>COUNTIFS('Alle ruter'!$I$3:$I$98,'H2 pr endeplass'!A20,'Alle ruter'!$Z$3:$Z$98,"H2")+COUNTIFS('Alle ruter'!$J$3:$J$98,'H2 pr endeplass'!A20,'Alle ruter'!$K$3:$K$98,"Nei",'Alle ruter'!$Z$3:$Z$98,"H2")</f>
        <v>1</v>
      </c>
      <c r="E20">
        <v>0</v>
      </c>
      <c r="F20" s="3">
        <f>SUMIFS('Alle ruter'!$AC$3:$AC$98,'Alle ruter'!$Z$3:$Z$98,"H2",'Alle ruter'!$I$3:$I$98,$A20,'Alle ruter'!$AJ$3:$AJ$98,"&lt;="&amp;F$2)/2+SUMIFS('Alle ruter'!$AC$3:$AC$98,'Alle ruter'!$Z$3:$Z$98,"H2",'Alle ruter'!$J$3:$J$98,$A20,'Alle ruter'!$AJ$3:$AJ$98,"&lt;="&amp;F$2)/2</f>
        <v>0</v>
      </c>
      <c r="G20" s="3">
        <f>SUMIFS('Alle ruter'!$AC$3:$AC$98,'Alle ruter'!$Z$3:$Z$98,"H2",'Alle ruter'!$I$3:$I$98,$A20,'Alle ruter'!$AJ$3:$AJ$98,"&lt;="&amp;G$2)/2+SUMIFS('Alle ruter'!$AC$3:$AC$98,'Alle ruter'!$Z$3:$Z$98,"H2",'Alle ruter'!$J$3:$J$98,$A20,'Alle ruter'!$AJ$3:$AJ$98,"&lt;="&amp;G$2)/2</f>
        <v>0</v>
      </c>
      <c r="H20" s="3">
        <f>SUMIFS('Alle ruter'!$AC$3:$AC$98,'Alle ruter'!$Z$3:$Z$98,"H2",'Alle ruter'!$I$3:$I$98,$A20,'Alle ruter'!$AJ$3:$AJ$98,"&lt;="&amp;H$2)/2+SUMIFS('Alle ruter'!$AC$3:$AC$98,'Alle ruter'!$Z$3:$Z$98,"H2",'Alle ruter'!$J$3:$J$98,$A20,'Alle ruter'!$AJ$3:$AJ$98,"&lt;="&amp;H$2)/2</f>
        <v>420.50778632876711</v>
      </c>
      <c r="I20" s="3">
        <f>SUMIFS('Alle ruter'!$AC$3:$AC$98,'Alle ruter'!$Z$3:$Z$98,"H2",'Alle ruter'!$I$3:$I$98,$A20,'Alle ruter'!$AJ$3:$AJ$98,"&lt;="&amp;I$2)/2+SUMIFS('Alle ruter'!$AC$3:$AC$98,'Alle ruter'!$Z$3:$Z$98,"H2",'Alle ruter'!$J$3:$J$98,$A20,'Alle ruter'!$AJ$3:$AJ$98,"&lt;="&amp;I$2)/2</f>
        <v>420.50778632876711</v>
      </c>
      <c r="J20" s="3">
        <f>SUMIFS('Alle ruter'!$AC$3:$AC$98,'Alle ruter'!$Z$3:$Z$98,"H2",'Alle ruter'!$I$3:$I$98,$A20,'Alle ruter'!$AJ$3:$AJ$98,"&lt;="&amp;J$2)/2+SUMIFS('Alle ruter'!$AC$3:$AC$98,'Alle ruter'!$Z$3:$Z$98,"H2",'Alle ruter'!$J$3:$J$98,$A20,'Alle ruter'!$AJ$3:$AJ$98,"&lt;="&amp;J$2)/2</f>
        <v>420.50778632876711</v>
      </c>
      <c r="K20" s="3">
        <f>SUMIFS('Alle ruter'!$AC$3:$AC$98,'Alle ruter'!$Z$3:$Z$98,"H2",'Alle ruter'!$I$3:$I$98,$A20,'Alle ruter'!$AJ$3:$AJ$98,"&lt;="&amp;K$2)/2+SUMIFS('Alle ruter'!$AC$3:$AC$98,'Alle ruter'!$Z$3:$Z$98,"H2",'Alle ruter'!$J$3:$J$98,$A20,'Alle ruter'!$AJ$3:$AJ$98,"&lt;="&amp;K$2)/2</f>
        <v>420.50778632876711</v>
      </c>
      <c r="L20" s="3">
        <f>SUMIFS('Alle ruter'!$AC$3:$AC$98,'Alle ruter'!$Z$3:$Z$98,"H2",'Alle ruter'!$I$3:$I$98,$A20,'Alle ruter'!$AJ$3:$AJ$98,"&lt;="&amp;L$2)/2+SUMIFS('Alle ruter'!$AC$3:$AC$98,'Alle ruter'!$Z$3:$Z$98,"H2",'Alle ruter'!$J$3:$J$98,$A20,'Alle ruter'!$AJ$3:$AJ$98,"&lt;="&amp;L$2)/2</f>
        <v>420.50778632876711</v>
      </c>
      <c r="M20" s="3">
        <f>SUMIFS('Alle ruter'!$AC$3:$AC$98,'Alle ruter'!$Z$3:$Z$98,"H2",'Alle ruter'!$I$3:$I$98,$A20,'Alle ruter'!$AJ$3:$AJ$98,"&lt;="&amp;M$2)/2+SUMIFS('Alle ruter'!$AC$3:$AC$98,'Alle ruter'!$Z$3:$Z$98,"H2",'Alle ruter'!$J$3:$J$98,$A20,'Alle ruter'!$AJ$3:$AJ$98,"&lt;="&amp;M$2)/2</f>
        <v>420.50778632876711</v>
      </c>
      <c r="N20" s="3">
        <f>SUMIFS('Alle ruter'!$AC$3:$AC$98,'Alle ruter'!$Z$3:$Z$98,"H2",'Alle ruter'!$I$3:$I$98,$A20,'Alle ruter'!$AJ$3:$AJ$98,"&lt;="&amp;N$2)/2+SUMIFS('Alle ruter'!$AC$3:$AC$98,'Alle ruter'!$Z$3:$Z$98,"H2",'Alle ruter'!$J$3:$J$98,$A20,'Alle ruter'!$AJ$3:$AJ$98,"&lt;="&amp;N$2)/2</f>
        <v>420.50778632876711</v>
      </c>
      <c r="O20" s="3">
        <f>SUMIFS('Alle ruter'!$AC$3:$AC$98,'Alle ruter'!$Z$3:$Z$98,"H2",'Alle ruter'!$I$3:$I$98,$A20,'Alle ruter'!$AJ$3:$AJ$98,"&lt;="&amp;O$2)/2+SUMIFS('Alle ruter'!$AC$3:$AC$98,'Alle ruter'!$Z$3:$Z$98,"H2",'Alle ruter'!$J$3:$J$98,$A20,'Alle ruter'!$AJ$3:$AJ$98,"&lt;="&amp;O$2)/2</f>
        <v>420.50778632876711</v>
      </c>
      <c r="P20" s="3">
        <f>SUMIFS('Alle ruter'!$AC$3:$AC$98,'Alle ruter'!$Z$3:$Z$98,"H2",'Alle ruter'!$I$3:$I$98,$A20,'Alle ruter'!$AJ$3:$AJ$98,"&lt;="&amp;P$2)/2+SUMIFS('Alle ruter'!$AC$3:$AC$98,'Alle ruter'!$Z$3:$Z$98,"H2",'Alle ruter'!$J$3:$J$98,$A20,'Alle ruter'!$AJ$3:$AJ$98,"&lt;="&amp;P$2)/2</f>
        <v>420.50778632876711</v>
      </c>
      <c r="Q20" s="3">
        <f>SUMIFS('Alle ruter'!$AC$3:$AC$98,'Alle ruter'!$Z$3:$Z$98,"H2",'Alle ruter'!$I$3:$I$98,$A20,'Alle ruter'!$AJ$3:$AJ$98,"&lt;="&amp;Q$2)/2+SUMIFS('Alle ruter'!$AC$3:$AC$98,'Alle ruter'!$Z$3:$Z$98,"H2",'Alle ruter'!$J$3:$J$98,$A20,'Alle ruter'!$AJ$3:$AJ$98,"&lt;="&amp;Q$2)/2</f>
        <v>420.50778632876711</v>
      </c>
      <c r="R20" s="3">
        <f>SUMIFS('Alle ruter'!$AC$3:$AC$98,'Alle ruter'!$Z$3:$Z$98,"H2",'Alle ruter'!$I$3:$I$98,$A20,'Alle ruter'!$AJ$3:$AJ$98,"&lt;="&amp;R$2)/2+SUMIFS('Alle ruter'!$AC$3:$AC$98,'Alle ruter'!$Z$3:$Z$98,"H2",'Alle ruter'!$J$3:$J$98,$A20,'Alle ruter'!$AJ$3:$AJ$98,"&lt;="&amp;R$2)/2</f>
        <v>420.50778632876711</v>
      </c>
      <c r="S20" s="3">
        <f>SUMIFS('Alle ruter'!$AC$3:$AC$98,'Alle ruter'!$Z$3:$Z$98,"H2",'Alle ruter'!$I$3:$I$98,$A20,'Alle ruter'!$AJ$3:$AJ$98,"&lt;="&amp;S$2)/2+SUMIFS('Alle ruter'!$AC$3:$AC$98,'Alle ruter'!$Z$3:$Z$98,"H2",'Alle ruter'!$J$3:$J$98,$A20,'Alle ruter'!$AJ$3:$AJ$98,"&lt;="&amp;S$2)/2</f>
        <v>420.50778632876711</v>
      </c>
      <c r="T20" s="3"/>
    </row>
    <row r="21" spans="1:20" x14ac:dyDescent="0.3">
      <c r="A21" t="s">
        <v>118</v>
      </c>
      <c r="B21" t="s">
        <v>15</v>
      </c>
      <c r="C21" s="3">
        <f>COUNTIF('Alle ruter'!$I$3:$I$98,'H2 pr endeplass'!A21)+COUNTIFS('Alle ruter'!$J$3:$J$98,'H2 pr endeplass'!A21,'Alle ruter'!$K$3:$K$98,"Nei")</f>
        <v>2</v>
      </c>
      <c r="D21" s="3">
        <f>COUNTIFS('Alle ruter'!$I$3:$I$98,'H2 pr endeplass'!A21,'Alle ruter'!$Z$3:$Z$98,"H2")+COUNTIFS('Alle ruter'!$J$3:$J$98,'H2 pr endeplass'!A21,'Alle ruter'!$K$3:$K$98,"Nei",'Alle ruter'!$Z$3:$Z$98,"H2")</f>
        <v>1</v>
      </c>
      <c r="E21">
        <v>0</v>
      </c>
      <c r="F21" s="3">
        <f>SUMIFS('Alle ruter'!$AC$3:$AC$98,'Alle ruter'!$Z$3:$Z$98,"H2",'Alle ruter'!$I$3:$I$98,$A21,'Alle ruter'!$AJ$3:$AJ$98,"&lt;="&amp;F$2)/2+SUMIFS('Alle ruter'!$AC$3:$AC$98,'Alle ruter'!$Z$3:$Z$98,"H2",'Alle ruter'!$J$3:$J$98,$A21,'Alle ruter'!$AJ$3:$AJ$98,"&lt;="&amp;F$2)/2</f>
        <v>0</v>
      </c>
      <c r="G21" s="3">
        <f>SUMIFS('Alle ruter'!$AC$3:$AC$98,'Alle ruter'!$Z$3:$Z$98,"H2",'Alle ruter'!$I$3:$I$98,$A21,'Alle ruter'!$AJ$3:$AJ$98,"&lt;="&amp;G$2)/2+SUMIFS('Alle ruter'!$AC$3:$AC$98,'Alle ruter'!$Z$3:$Z$98,"H2",'Alle ruter'!$J$3:$J$98,$A21,'Alle ruter'!$AJ$3:$AJ$98,"&lt;="&amp;G$2)/2</f>
        <v>0</v>
      </c>
      <c r="H21" s="3">
        <f>SUMIFS('Alle ruter'!$AC$3:$AC$98,'Alle ruter'!$Z$3:$Z$98,"H2",'Alle ruter'!$I$3:$I$98,$A21,'Alle ruter'!$AJ$3:$AJ$98,"&lt;="&amp;H$2)/2+SUMIFS('Alle ruter'!$AC$3:$AC$98,'Alle ruter'!$Z$3:$Z$98,"H2",'Alle ruter'!$J$3:$J$98,$A21,'Alle ruter'!$AJ$3:$AJ$98,"&lt;="&amp;H$2)/2</f>
        <v>0</v>
      </c>
      <c r="I21" s="3">
        <f>SUMIFS('Alle ruter'!$AC$3:$AC$98,'Alle ruter'!$Z$3:$Z$98,"H2",'Alle ruter'!$I$3:$I$98,$A21,'Alle ruter'!$AJ$3:$AJ$98,"&lt;="&amp;I$2)/2+SUMIFS('Alle ruter'!$AC$3:$AC$98,'Alle ruter'!$Z$3:$Z$98,"H2",'Alle ruter'!$J$3:$J$98,$A21,'Alle ruter'!$AJ$3:$AJ$98,"&lt;="&amp;I$2)/2</f>
        <v>0</v>
      </c>
      <c r="J21" s="3">
        <f>SUMIFS('Alle ruter'!$AC$3:$AC$98,'Alle ruter'!$Z$3:$Z$98,"H2",'Alle ruter'!$I$3:$I$98,$A21,'Alle ruter'!$AJ$3:$AJ$98,"&lt;="&amp;J$2)/2+SUMIFS('Alle ruter'!$AC$3:$AC$98,'Alle ruter'!$Z$3:$Z$98,"H2",'Alle ruter'!$J$3:$J$98,$A21,'Alle ruter'!$AJ$3:$AJ$98,"&lt;="&amp;J$2)/2</f>
        <v>0</v>
      </c>
      <c r="K21" s="3">
        <f>SUMIFS('Alle ruter'!$AC$3:$AC$98,'Alle ruter'!$Z$3:$Z$98,"H2",'Alle ruter'!$I$3:$I$98,$A21,'Alle ruter'!$AJ$3:$AJ$98,"&lt;="&amp;K$2)/2+SUMIFS('Alle ruter'!$AC$3:$AC$98,'Alle ruter'!$Z$3:$Z$98,"H2",'Alle ruter'!$J$3:$J$98,$A21,'Alle ruter'!$AJ$3:$AJ$98,"&lt;="&amp;K$2)/2</f>
        <v>384.03236770136982</v>
      </c>
      <c r="L21" s="3">
        <f>SUMIFS('Alle ruter'!$AC$3:$AC$98,'Alle ruter'!$Z$3:$Z$98,"H2",'Alle ruter'!$I$3:$I$98,$A21,'Alle ruter'!$AJ$3:$AJ$98,"&lt;="&amp;L$2)/2+SUMIFS('Alle ruter'!$AC$3:$AC$98,'Alle ruter'!$Z$3:$Z$98,"H2",'Alle ruter'!$J$3:$J$98,$A21,'Alle ruter'!$AJ$3:$AJ$98,"&lt;="&amp;L$2)/2</f>
        <v>384.03236770136982</v>
      </c>
      <c r="M21" s="3">
        <f>SUMIFS('Alle ruter'!$AC$3:$AC$98,'Alle ruter'!$Z$3:$Z$98,"H2",'Alle ruter'!$I$3:$I$98,$A21,'Alle ruter'!$AJ$3:$AJ$98,"&lt;="&amp;M$2)/2+SUMIFS('Alle ruter'!$AC$3:$AC$98,'Alle ruter'!$Z$3:$Z$98,"H2",'Alle ruter'!$J$3:$J$98,$A21,'Alle ruter'!$AJ$3:$AJ$98,"&lt;="&amp;M$2)/2</f>
        <v>384.03236770136982</v>
      </c>
      <c r="N21" s="3">
        <f>SUMIFS('Alle ruter'!$AC$3:$AC$98,'Alle ruter'!$Z$3:$Z$98,"H2",'Alle ruter'!$I$3:$I$98,$A21,'Alle ruter'!$AJ$3:$AJ$98,"&lt;="&amp;N$2)/2+SUMIFS('Alle ruter'!$AC$3:$AC$98,'Alle ruter'!$Z$3:$Z$98,"H2",'Alle ruter'!$J$3:$J$98,$A21,'Alle ruter'!$AJ$3:$AJ$98,"&lt;="&amp;N$2)/2</f>
        <v>384.03236770136982</v>
      </c>
      <c r="O21" s="3">
        <f>SUMIFS('Alle ruter'!$AC$3:$AC$98,'Alle ruter'!$Z$3:$Z$98,"H2",'Alle ruter'!$I$3:$I$98,$A21,'Alle ruter'!$AJ$3:$AJ$98,"&lt;="&amp;O$2)/2+SUMIFS('Alle ruter'!$AC$3:$AC$98,'Alle ruter'!$Z$3:$Z$98,"H2",'Alle ruter'!$J$3:$J$98,$A21,'Alle ruter'!$AJ$3:$AJ$98,"&lt;="&amp;O$2)/2</f>
        <v>384.03236770136982</v>
      </c>
      <c r="P21" s="3">
        <f>SUMIFS('Alle ruter'!$AC$3:$AC$98,'Alle ruter'!$Z$3:$Z$98,"H2",'Alle ruter'!$I$3:$I$98,$A21,'Alle ruter'!$AJ$3:$AJ$98,"&lt;="&amp;P$2)/2+SUMIFS('Alle ruter'!$AC$3:$AC$98,'Alle ruter'!$Z$3:$Z$98,"H2",'Alle ruter'!$J$3:$J$98,$A21,'Alle ruter'!$AJ$3:$AJ$98,"&lt;="&amp;P$2)/2</f>
        <v>384.03236770136982</v>
      </c>
      <c r="Q21" s="3">
        <f>SUMIFS('Alle ruter'!$AC$3:$AC$98,'Alle ruter'!$Z$3:$Z$98,"H2",'Alle ruter'!$I$3:$I$98,$A21,'Alle ruter'!$AJ$3:$AJ$98,"&lt;="&amp;Q$2)/2+SUMIFS('Alle ruter'!$AC$3:$AC$98,'Alle ruter'!$Z$3:$Z$98,"H2",'Alle ruter'!$J$3:$J$98,$A21,'Alle ruter'!$AJ$3:$AJ$98,"&lt;="&amp;Q$2)/2</f>
        <v>384.03236770136982</v>
      </c>
      <c r="R21" s="3">
        <f>SUMIFS('Alle ruter'!$AC$3:$AC$98,'Alle ruter'!$Z$3:$Z$98,"H2",'Alle ruter'!$I$3:$I$98,$A21,'Alle ruter'!$AJ$3:$AJ$98,"&lt;="&amp;R$2)/2+SUMIFS('Alle ruter'!$AC$3:$AC$98,'Alle ruter'!$Z$3:$Z$98,"H2",'Alle ruter'!$J$3:$J$98,$A21,'Alle ruter'!$AJ$3:$AJ$98,"&lt;="&amp;R$2)/2</f>
        <v>384.03236770136982</v>
      </c>
      <c r="S21" s="3">
        <f>SUMIFS('Alle ruter'!$AC$3:$AC$98,'Alle ruter'!$Z$3:$Z$98,"H2",'Alle ruter'!$I$3:$I$98,$A21,'Alle ruter'!$AJ$3:$AJ$98,"&lt;="&amp;S$2)/2+SUMIFS('Alle ruter'!$AC$3:$AC$98,'Alle ruter'!$Z$3:$Z$98,"H2",'Alle ruter'!$J$3:$J$98,$A21,'Alle ruter'!$AJ$3:$AJ$98,"&lt;="&amp;S$2)/2</f>
        <v>384.03236770136982</v>
      </c>
      <c r="T21" s="3"/>
    </row>
    <row r="22" spans="1:20" x14ac:dyDescent="0.3">
      <c r="A22" s="19" t="s">
        <v>141</v>
      </c>
      <c r="B22" s="19" t="s">
        <v>19</v>
      </c>
      <c r="C22" s="3">
        <f>COUNTIF('Alle ruter'!$I$3:$I$98,'H2 pr endeplass'!A22)+COUNTIFS('Alle ruter'!$J$3:$J$98,'H2 pr endeplass'!A22,'Alle ruter'!$K$3:$K$98,"Nei")</f>
        <v>1</v>
      </c>
      <c r="D22" s="3">
        <f>COUNTIFS('Alle ruter'!$I$3:$I$98,'H2 pr endeplass'!A22,'Alle ruter'!$Z$3:$Z$98,"H2")+COUNTIFS('Alle ruter'!$J$3:$J$98,'H2 pr endeplass'!A22,'Alle ruter'!$K$3:$K$98,"Nei",'Alle ruter'!$Z$3:$Z$98,"H2")</f>
        <v>1</v>
      </c>
      <c r="E22">
        <v>0</v>
      </c>
      <c r="F22" s="3">
        <f>SUMIFS('Alle ruter'!$AC$3:$AC$98,'Alle ruter'!$Z$3:$Z$98,"H2",'Alle ruter'!$I$3:$I$98,$A22,'Alle ruter'!$AJ$3:$AJ$98,"&lt;="&amp;F$2)/2+SUMIFS('Alle ruter'!$AC$3:$AC$98,'Alle ruter'!$Z$3:$Z$98,"H2",'Alle ruter'!$J$3:$J$98,$A22,'Alle ruter'!$AJ$3:$AJ$98,"&lt;="&amp;F$2)/2</f>
        <v>0</v>
      </c>
      <c r="G22" s="3">
        <f>SUMIFS('Alle ruter'!$AC$3:$AC$98,'Alle ruter'!$Z$3:$Z$98,"H2",'Alle ruter'!$I$3:$I$98,$A22,'Alle ruter'!$AJ$3:$AJ$98,"&lt;="&amp;G$2)/2+SUMIFS('Alle ruter'!$AC$3:$AC$98,'Alle ruter'!$Z$3:$Z$98,"H2",'Alle ruter'!$J$3:$J$98,$A22,'Alle ruter'!$AJ$3:$AJ$98,"&lt;="&amp;G$2)/2</f>
        <v>304.94440610684933</v>
      </c>
      <c r="H22" s="3">
        <f>SUMIFS('Alle ruter'!$AC$3:$AC$98,'Alle ruter'!$Z$3:$Z$98,"H2",'Alle ruter'!$I$3:$I$98,$A22,'Alle ruter'!$AJ$3:$AJ$98,"&lt;="&amp;H$2)/2+SUMIFS('Alle ruter'!$AC$3:$AC$98,'Alle ruter'!$Z$3:$Z$98,"H2",'Alle ruter'!$J$3:$J$98,$A22,'Alle ruter'!$AJ$3:$AJ$98,"&lt;="&amp;H$2)/2</f>
        <v>304.94440610684933</v>
      </c>
      <c r="I22" s="3">
        <f>SUMIFS('Alle ruter'!$AC$3:$AC$98,'Alle ruter'!$Z$3:$Z$98,"H2",'Alle ruter'!$I$3:$I$98,$A22,'Alle ruter'!$AJ$3:$AJ$98,"&lt;="&amp;I$2)/2+SUMIFS('Alle ruter'!$AC$3:$AC$98,'Alle ruter'!$Z$3:$Z$98,"H2",'Alle ruter'!$J$3:$J$98,$A22,'Alle ruter'!$AJ$3:$AJ$98,"&lt;="&amp;I$2)/2</f>
        <v>304.94440610684933</v>
      </c>
      <c r="J22" s="3">
        <f>SUMIFS('Alle ruter'!$AC$3:$AC$98,'Alle ruter'!$Z$3:$Z$98,"H2",'Alle ruter'!$I$3:$I$98,$A22,'Alle ruter'!$AJ$3:$AJ$98,"&lt;="&amp;J$2)/2+SUMIFS('Alle ruter'!$AC$3:$AC$98,'Alle ruter'!$Z$3:$Z$98,"H2",'Alle ruter'!$J$3:$J$98,$A22,'Alle ruter'!$AJ$3:$AJ$98,"&lt;="&amp;J$2)/2</f>
        <v>304.94440610684933</v>
      </c>
      <c r="K22" s="3">
        <f>SUMIFS('Alle ruter'!$AC$3:$AC$98,'Alle ruter'!$Z$3:$Z$98,"H2",'Alle ruter'!$I$3:$I$98,$A22,'Alle ruter'!$AJ$3:$AJ$98,"&lt;="&amp;K$2)/2+SUMIFS('Alle ruter'!$AC$3:$AC$98,'Alle ruter'!$Z$3:$Z$98,"H2",'Alle ruter'!$J$3:$J$98,$A22,'Alle ruter'!$AJ$3:$AJ$98,"&lt;="&amp;K$2)/2</f>
        <v>304.94440610684933</v>
      </c>
      <c r="L22" s="3">
        <f>SUMIFS('Alle ruter'!$AC$3:$AC$98,'Alle ruter'!$Z$3:$Z$98,"H2",'Alle ruter'!$I$3:$I$98,$A22,'Alle ruter'!$AJ$3:$AJ$98,"&lt;="&amp;L$2)/2+SUMIFS('Alle ruter'!$AC$3:$AC$98,'Alle ruter'!$Z$3:$Z$98,"H2",'Alle ruter'!$J$3:$J$98,$A22,'Alle ruter'!$AJ$3:$AJ$98,"&lt;="&amp;L$2)/2</f>
        <v>304.94440610684933</v>
      </c>
      <c r="M22" s="3">
        <f>SUMIFS('Alle ruter'!$AC$3:$AC$98,'Alle ruter'!$Z$3:$Z$98,"H2",'Alle ruter'!$I$3:$I$98,$A22,'Alle ruter'!$AJ$3:$AJ$98,"&lt;="&amp;M$2)/2+SUMIFS('Alle ruter'!$AC$3:$AC$98,'Alle ruter'!$Z$3:$Z$98,"H2",'Alle ruter'!$J$3:$J$98,$A22,'Alle ruter'!$AJ$3:$AJ$98,"&lt;="&amp;M$2)/2</f>
        <v>304.94440610684933</v>
      </c>
      <c r="N22" s="3">
        <f>SUMIFS('Alle ruter'!$AC$3:$AC$98,'Alle ruter'!$Z$3:$Z$98,"H2",'Alle ruter'!$I$3:$I$98,$A22,'Alle ruter'!$AJ$3:$AJ$98,"&lt;="&amp;N$2)/2+SUMIFS('Alle ruter'!$AC$3:$AC$98,'Alle ruter'!$Z$3:$Z$98,"H2",'Alle ruter'!$J$3:$J$98,$A22,'Alle ruter'!$AJ$3:$AJ$98,"&lt;="&amp;N$2)/2</f>
        <v>304.94440610684933</v>
      </c>
      <c r="O22" s="3">
        <f>SUMIFS('Alle ruter'!$AC$3:$AC$98,'Alle ruter'!$Z$3:$Z$98,"H2",'Alle ruter'!$I$3:$I$98,$A22,'Alle ruter'!$AJ$3:$AJ$98,"&lt;="&amp;O$2)/2+SUMIFS('Alle ruter'!$AC$3:$AC$98,'Alle ruter'!$Z$3:$Z$98,"H2",'Alle ruter'!$J$3:$J$98,$A22,'Alle ruter'!$AJ$3:$AJ$98,"&lt;="&amp;O$2)/2</f>
        <v>304.94440610684933</v>
      </c>
      <c r="P22" s="3">
        <f>SUMIFS('Alle ruter'!$AC$3:$AC$98,'Alle ruter'!$Z$3:$Z$98,"H2",'Alle ruter'!$I$3:$I$98,$A22,'Alle ruter'!$AJ$3:$AJ$98,"&lt;="&amp;P$2)/2+SUMIFS('Alle ruter'!$AC$3:$AC$98,'Alle ruter'!$Z$3:$Z$98,"H2",'Alle ruter'!$J$3:$J$98,$A22,'Alle ruter'!$AJ$3:$AJ$98,"&lt;="&amp;P$2)/2</f>
        <v>304.94440610684933</v>
      </c>
      <c r="Q22" s="3">
        <f>SUMIFS('Alle ruter'!$AC$3:$AC$98,'Alle ruter'!$Z$3:$Z$98,"H2",'Alle ruter'!$I$3:$I$98,$A22,'Alle ruter'!$AJ$3:$AJ$98,"&lt;="&amp;Q$2)/2+SUMIFS('Alle ruter'!$AC$3:$AC$98,'Alle ruter'!$Z$3:$Z$98,"H2",'Alle ruter'!$J$3:$J$98,$A22,'Alle ruter'!$AJ$3:$AJ$98,"&lt;="&amp;Q$2)/2</f>
        <v>304.94440610684933</v>
      </c>
      <c r="R22" s="3">
        <f>SUMIFS('Alle ruter'!$AC$3:$AC$98,'Alle ruter'!$Z$3:$Z$98,"H2",'Alle ruter'!$I$3:$I$98,$A22,'Alle ruter'!$AJ$3:$AJ$98,"&lt;="&amp;R$2)/2+SUMIFS('Alle ruter'!$AC$3:$AC$98,'Alle ruter'!$Z$3:$Z$98,"H2",'Alle ruter'!$J$3:$J$98,$A22,'Alle ruter'!$AJ$3:$AJ$98,"&lt;="&amp;R$2)/2</f>
        <v>304.94440610684933</v>
      </c>
      <c r="S22" s="3">
        <f>SUMIFS('Alle ruter'!$AC$3:$AC$98,'Alle ruter'!$Z$3:$Z$98,"H2",'Alle ruter'!$I$3:$I$98,$A22,'Alle ruter'!$AJ$3:$AJ$98,"&lt;="&amp;S$2)/2+SUMIFS('Alle ruter'!$AC$3:$AC$98,'Alle ruter'!$Z$3:$Z$98,"H2",'Alle ruter'!$J$3:$J$98,$A22,'Alle ruter'!$AJ$3:$AJ$98,"&lt;="&amp;S$2)/2</f>
        <v>304.94440610684933</v>
      </c>
      <c r="T22" s="3"/>
    </row>
    <row r="23" spans="1:20" x14ac:dyDescent="0.3">
      <c r="A23" t="s">
        <v>134</v>
      </c>
      <c r="B23" t="s">
        <v>11</v>
      </c>
      <c r="C23" s="3">
        <f>COUNTIF('Alle ruter'!$I$3:$I$98,'H2 pr endeplass'!A23)+COUNTIFS('Alle ruter'!$J$3:$J$98,'H2 pr endeplass'!A23,'Alle ruter'!$K$3:$K$98,"Nei")</f>
        <v>1</v>
      </c>
      <c r="D23" s="3">
        <f>COUNTIFS('Alle ruter'!$I$3:$I$98,'H2 pr endeplass'!A23,'Alle ruter'!$Z$3:$Z$98,"H2")+COUNTIFS('Alle ruter'!$J$3:$J$98,'H2 pr endeplass'!A23,'Alle ruter'!$K$3:$K$98,"Nei",'Alle ruter'!$Z$3:$Z$98,"H2")</f>
        <v>1</v>
      </c>
      <c r="E23">
        <v>0</v>
      </c>
      <c r="F23" s="3">
        <f>SUMIFS('Alle ruter'!$AC$3:$AC$98,'Alle ruter'!$Z$3:$Z$98,"H2",'Alle ruter'!$I$3:$I$98,$A23,'Alle ruter'!$AJ$3:$AJ$98,"&lt;="&amp;F$2)/2+SUMIFS('Alle ruter'!$AC$3:$AC$98,'Alle ruter'!$Z$3:$Z$98,"H2",'Alle ruter'!$J$3:$J$98,$A23,'Alle ruter'!$AJ$3:$AJ$98,"&lt;="&amp;F$2)/2</f>
        <v>0</v>
      </c>
      <c r="G23" s="3">
        <f>SUMIFS('Alle ruter'!$AC$3:$AC$98,'Alle ruter'!$Z$3:$Z$98,"H2",'Alle ruter'!$I$3:$I$98,$A23,'Alle ruter'!$AJ$3:$AJ$98,"&lt;="&amp;G$2)/2+SUMIFS('Alle ruter'!$AC$3:$AC$98,'Alle ruter'!$Z$3:$Z$98,"H2",'Alle ruter'!$J$3:$J$98,$A23,'Alle ruter'!$AJ$3:$AJ$98,"&lt;="&amp;G$2)/2</f>
        <v>0</v>
      </c>
      <c r="H23" s="3">
        <f>SUMIFS('Alle ruter'!$AC$3:$AC$98,'Alle ruter'!$Z$3:$Z$98,"H2",'Alle ruter'!$I$3:$I$98,$A23,'Alle ruter'!$AJ$3:$AJ$98,"&lt;="&amp;H$2)/2+SUMIFS('Alle ruter'!$AC$3:$AC$98,'Alle ruter'!$Z$3:$Z$98,"H2",'Alle ruter'!$J$3:$J$98,$A23,'Alle ruter'!$AJ$3:$AJ$98,"&lt;="&amp;H$2)/2</f>
        <v>237.88718266088276</v>
      </c>
      <c r="I23" s="3">
        <f>SUMIFS('Alle ruter'!$AC$3:$AC$98,'Alle ruter'!$Z$3:$Z$98,"H2",'Alle ruter'!$I$3:$I$98,$A23,'Alle ruter'!$AJ$3:$AJ$98,"&lt;="&amp;I$2)/2+SUMIFS('Alle ruter'!$AC$3:$AC$98,'Alle ruter'!$Z$3:$Z$98,"H2",'Alle ruter'!$J$3:$J$98,$A23,'Alle ruter'!$AJ$3:$AJ$98,"&lt;="&amp;I$2)/2</f>
        <v>237.88718266088276</v>
      </c>
      <c r="J23" s="3">
        <f>SUMIFS('Alle ruter'!$AC$3:$AC$98,'Alle ruter'!$Z$3:$Z$98,"H2",'Alle ruter'!$I$3:$I$98,$A23,'Alle ruter'!$AJ$3:$AJ$98,"&lt;="&amp;J$2)/2+SUMIFS('Alle ruter'!$AC$3:$AC$98,'Alle ruter'!$Z$3:$Z$98,"H2",'Alle ruter'!$J$3:$J$98,$A23,'Alle ruter'!$AJ$3:$AJ$98,"&lt;="&amp;J$2)/2</f>
        <v>237.88718266088276</v>
      </c>
      <c r="K23" s="3">
        <f>SUMIFS('Alle ruter'!$AC$3:$AC$98,'Alle ruter'!$Z$3:$Z$98,"H2",'Alle ruter'!$I$3:$I$98,$A23,'Alle ruter'!$AJ$3:$AJ$98,"&lt;="&amp;K$2)/2+SUMIFS('Alle ruter'!$AC$3:$AC$98,'Alle ruter'!$Z$3:$Z$98,"H2",'Alle ruter'!$J$3:$J$98,$A23,'Alle ruter'!$AJ$3:$AJ$98,"&lt;="&amp;K$2)/2</f>
        <v>237.88718266088276</v>
      </c>
      <c r="L23" s="3">
        <f>SUMIFS('Alle ruter'!$AC$3:$AC$98,'Alle ruter'!$Z$3:$Z$98,"H2",'Alle ruter'!$I$3:$I$98,$A23,'Alle ruter'!$AJ$3:$AJ$98,"&lt;="&amp;L$2)/2+SUMIFS('Alle ruter'!$AC$3:$AC$98,'Alle ruter'!$Z$3:$Z$98,"H2",'Alle ruter'!$J$3:$J$98,$A23,'Alle ruter'!$AJ$3:$AJ$98,"&lt;="&amp;L$2)/2</f>
        <v>237.88718266088276</v>
      </c>
      <c r="M23" s="3">
        <f>SUMIFS('Alle ruter'!$AC$3:$AC$98,'Alle ruter'!$Z$3:$Z$98,"H2",'Alle ruter'!$I$3:$I$98,$A23,'Alle ruter'!$AJ$3:$AJ$98,"&lt;="&amp;M$2)/2+SUMIFS('Alle ruter'!$AC$3:$AC$98,'Alle ruter'!$Z$3:$Z$98,"H2",'Alle ruter'!$J$3:$J$98,$A23,'Alle ruter'!$AJ$3:$AJ$98,"&lt;="&amp;M$2)/2</f>
        <v>237.88718266088276</v>
      </c>
      <c r="N23" s="3">
        <f>SUMIFS('Alle ruter'!$AC$3:$AC$98,'Alle ruter'!$Z$3:$Z$98,"H2",'Alle ruter'!$I$3:$I$98,$A23,'Alle ruter'!$AJ$3:$AJ$98,"&lt;="&amp;N$2)/2+SUMIFS('Alle ruter'!$AC$3:$AC$98,'Alle ruter'!$Z$3:$Z$98,"H2",'Alle ruter'!$J$3:$J$98,$A23,'Alle ruter'!$AJ$3:$AJ$98,"&lt;="&amp;N$2)/2</f>
        <v>237.88718266088276</v>
      </c>
      <c r="O23" s="3">
        <f>SUMIFS('Alle ruter'!$AC$3:$AC$98,'Alle ruter'!$Z$3:$Z$98,"H2",'Alle ruter'!$I$3:$I$98,$A23,'Alle ruter'!$AJ$3:$AJ$98,"&lt;="&amp;O$2)/2+SUMIFS('Alle ruter'!$AC$3:$AC$98,'Alle ruter'!$Z$3:$Z$98,"H2",'Alle ruter'!$J$3:$J$98,$A23,'Alle ruter'!$AJ$3:$AJ$98,"&lt;="&amp;O$2)/2</f>
        <v>237.88718266088276</v>
      </c>
      <c r="P23" s="3">
        <f>SUMIFS('Alle ruter'!$AC$3:$AC$98,'Alle ruter'!$Z$3:$Z$98,"H2",'Alle ruter'!$I$3:$I$98,$A23,'Alle ruter'!$AJ$3:$AJ$98,"&lt;="&amp;P$2)/2+SUMIFS('Alle ruter'!$AC$3:$AC$98,'Alle ruter'!$Z$3:$Z$98,"H2",'Alle ruter'!$J$3:$J$98,$A23,'Alle ruter'!$AJ$3:$AJ$98,"&lt;="&amp;P$2)/2</f>
        <v>237.88718266088276</v>
      </c>
      <c r="Q23" s="3">
        <f>SUMIFS('Alle ruter'!$AC$3:$AC$98,'Alle ruter'!$Z$3:$Z$98,"H2",'Alle ruter'!$I$3:$I$98,$A23,'Alle ruter'!$AJ$3:$AJ$98,"&lt;="&amp;Q$2)/2+SUMIFS('Alle ruter'!$AC$3:$AC$98,'Alle ruter'!$Z$3:$Z$98,"H2",'Alle ruter'!$J$3:$J$98,$A23,'Alle ruter'!$AJ$3:$AJ$98,"&lt;="&amp;Q$2)/2</f>
        <v>237.88718266088276</v>
      </c>
      <c r="R23" s="3">
        <f>SUMIFS('Alle ruter'!$AC$3:$AC$98,'Alle ruter'!$Z$3:$Z$98,"H2",'Alle ruter'!$I$3:$I$98,$A23,'Alle ruter'!$AJ$3:$AJ$98,"&lt;="&amp;R$2)/2+SUMIFS('Alle ruter'!$AC$3:$AC$98,'Alle ruter'!$Z$3:$Z$98,"H2",'Alle ruter'!$J$3:$J$98,$A23,'Alle ruter'!$AJ$3:$AJ$98,"&lt;="&amp;R$2)/2</f>
        <v>237.88718266088276</v>
      </c>
      <c r="S23" s="3">
        <f>SUMIFS('Alle ruter'!$AC$3:$AC$98,'Alle ruter'!$Z$3:$Z$98,"H2",'Alle ruter'!$I$3:$I$98,$A23,'Alle ruter'!$AJ$3:$AJ$98,"&lt;="&amp;S$2)/2+SUMIFS('Alle ruter'!$AC$3:$AC$98,'Alle ruter'!$Z$3:$Z$98,"H2",'Alle ruter'!$J$3:$J$98,$A23,'Alle ruter'!$AJ$3:$AJ$98,"&lt;="&amp;S$2)/2</f>
        <v>237.88718266088276</v>
      </c>
      <c r="T23" s="3"/>
    </row>
    <row r="24" spans="1:20" x14ac:dyDescent="0.3">
      <c r="A24" t="s">
        <v>144</v>
      </c>
      <c r="B24" t="s">
        <v>15</v>
      </c>
      <c r="C24" s="3">
        <f>COUNTIF('Alle ruter'!$I$3:$I$98,'H2 pr endeplass'!A24)+COUNTIFS('Alle ruter'!$J$3:$J$98,'H2 pr endeplass'!A24,'Alle ruter'!$K$3:$K$98,"Nei")</f>
        <v>1</v>
      </c>
      <c r="D24" s="3">
        <f>COUNTIFS('Alle ruter'!$I$3:$I$98,'H2 pr endeplass'!A24,'Alle ruter'!$Z$3:$Z$98,"H2")+COUNTIFS('Alle ruter'!$J$3:$J$98,'H2 pr endeplass'!A24,'Alle ruter'!$K$3:$K$98,"Nei",'Alle ruter'!$Z$3:$Z$98,"H2")</f>
        <v>1</v>
      </c>
      <c r="E24">
        <v>0</v>
      </c>
      <c r="F24" s="3">
        <f>SUMIFS('Alle ruter'!$AC$3:$AC$98,'Alle ruter'!$Z$3:$Z$98,"H2",'Alle ruter'!$I$3:$I$98,$A24,'Alle ruter'!$AJ$3:$AJ$98,"&lt;="&amp;F$2)/2+SUMIFS('Alle ruter'!$AC$3:$AC$98,'Alle ruter'!$Z$3:$Z$98,"H2",'Alle ruter'!$J$3:$J$98,$A24,'Alle ruter'!$AJ$3:$AJ$98,"&lt;="&amp;F$2)/2</f>
        <v>227.9302194870624</v>
      </c>
      <c r="G24" s="3">
        <f>SUMIFS('Alle ruter'!$AC$3:$AC$98,'Alle ruter'!$Z$3:$Z$98,"H2",'Alle ruter'!$I$3:$I$98,$A24,'Alle ruter'!$AJ$3:$AJ$98,"&lt;="&amp;G$2)/2+SUMIFS('Alle ruter'!$AC$3:$AC$98,'Alle ruter'!$Z$3:$Z$98,"H2",'Alle ruter'!$J$3:$J$98,$A24,'Alle ruter'!$AJ$3:$AJ$98,"&lt;="&amp;G$2)/2</f>
        <v>227.9302194870624</v>
      </c>
      <c r="H24" s="3">
        <f>SUMIFS('Alle ruter'!$AC$3:$AC$98,'Alle ruter'!$Z$3:$Z$98,"H2",'Alle ruter'!$I$3:$I$98,$A24,'Alle ruter'!$AJ$3:$AJ$98,"&lt;="&amp;H$2)/2+SUMIFS('Alle ruter'!$AC$3:$AC$98,'Alle ruter'!$Z$3:$Z$98,"H2",'Alle ruter'!$J$3:$J$98,$A24,'Alle ruter'!$AJ$3:$AJ$98,"&lt;="&amp;H$2)/2</f>
        <v>227.9302194870624</v>
      </c>
      <c r="I24" s="3">
        <f>SUMIFS('Alle ruter'!$AC$3:$AC$98,'Alle ruter'!$Z$3:$Z$98,"H2",'Alle ruter'!$I$3:$I$98,$A24,'Alle ruter'!$AJ$3:$AJ$98,"&lt;="&amp;I$2)/2+SUMIFS('Alle ruter'!$AC$3:$AC$98,'Alle ruter'!$Z$3:$Z$98,"H2",'Alle ruter'!$J$3:$J$98,$A24,'Alle ruter'!$AJ$3:$AJ$98,"&lt;="&amp;I$2)/2</f>
        <v>227.9302194870624</v>
      </c>
      <c r="J24" s="3">
        <f>SUMIFS('Alle ruter'!$AC$3:$AC$98,'Alle ruter'!$Z$3:$Z$98,"H2",'Alle ruter'!$I$3:$I$98,$A24,'Alle ruter'!$AJ$3:$AJ$98,"&lt;="&amp;J$2)/2+SUMIFS('Alle ruter'!$AC$3:$AC$98,'Alle ruter'!$Z$3:$Z$98,"H2",'Alle ruter'!$J$3:$J$98,$A24,'Alle ruter'!$AJ$3:$AJ$98,"&lt;="&amp;J$2)/2</f>
        <v>227.9302194870624</v>
      </c>
      <c r="K24" s="3">
        <f>SUMIFS('Alle ruter'!$AC$3:$AC$98,'Alle ruter'!$Z$3:$Z$98,"H2",'Alle ruter'!$I$3:$I$98,$A24,'Alle ruter'!$AJ$3:$AJ$98,"&lt;="&amp;K$2)/2+SUMIFS('Alle ruter'!$AC$3:$AC$98,'Alle ruter'!$Z$3:$Z$98,"H2",'Alle ruter'!$J$3:$J$98,$A24,'Alle ruter'!$AJ$3:$AJ$98,"&lt;="&amp;K$2)/2</f>
        <v>227.9302194870624</v>
      </c>
      <c r="L24" s="3">
        <f>SUMIFS('Alle ruter'!$AC$3:$AC$98,'Alle ruter'!$Z$3:$Z$98,"H2",'Alle ruter'!$I$3:$I$98,$A24,'Alle ruter'!$AJ$3:$AJ$98,"&lt;="&amp;L$2)/2+SUMIFS('Alle ruter'!$AC$3:$AC$98,'Alle ruter'!$Z$3:$Z$98,"H2",'Alle ruter'!$J$3:$J$98,$A24,'Alle ruter'!$AJ$3:$AJ$98,"&lt;="&amp;L$2)/2</f>
        <v>227.9302194870624</v>
      </c>
      <c r="M24" s="3">
        <f>SUMIFS('Alle ruter'!$AC$3:$AC$98,'Alle ruter'!$Z$3:$Z$98,"H2",'Alle ruter'!$I$3:$I$98,$A24,'Alle ruter'!$AJ$3:$AJ$98,"&lt;="&amp;M$2)/2+SUMIFS('Alle ruter'!$AC$3:$AC$98,'Alle ruter'!$Z$3:$Z$98,"H2",'Alle ruter'!$J$3:$J$98,$A24,'Alle ruter'!$AJ$3:$AJ$98,"&lt;="&amp;M$2)/2</f>
        <v>227.9302194870624</v>
      </c>
      <c r="N24" s="3">
        <f>SUMIFS('Alle ruter'!$AC$3:$AC$98,'Alle ruter'!$Z$3:$Z$98,"H2",'Alle ruter'!$I$3:$I$98,$A24,'Alle ruter'!$AJ$3:$AJ$98,"&lt;="&amp;N$2)/2+SUMIFS('Alle ruter'!$AC$3:$AC$98,'Alle ruter'!$Z$3:$Z$98,"H2",'Alle ruter'!$J$3:$J$98,$A24,'Alle ruter'!$AJ$3:$AJ$98,"&lt;="&amp;N$2)/2</f>
        <v>227.9302194870624</v>
      </c>
      <c r="O24" s="3">
        <f>SUMIFS('Alle ruter'!$AC$3:$AC$98,'Alle ruter'!$Z$3:$Z$98,"H2",'Alle ruter'!$I$3:$I$98,$A24,'Alle ruter'!$AJ$3:$AJ$98,"&lt;="&amp;O$2)/2+SUMIFS('Alle ruter'!$AC$3:$AC$98,'Alle ruter'!$Z$3:$Z$98,"H2",'Alle ruter'!$J$3:$J$98,$A24,'Alle ruter'!$AJ$3:$AJ$98,"&lt;="&amp;O$2)/2</f>
        <v>227.9302194870624</v>
      </c>
      <c r="P24" s="3">
        <f>SUMIFS('Alle ruter'!$AC$3:$AC$98,'Alle ruter'!$Z$3:$Z$98,"H2",'Alle ruter'!$I$3:$I$98,$A24,'Alle ruter'!$AJ$3:$AJ$98,"&lt;="&amp;P$2)/2+SUMIFS('Alle ruter'!$AC$3:$AC$98,'Alle ruter'!$Z$3:$Z$98,"H2",'Alle ruter'!$J$3:$J$98,$A24,'Alle ruter'!$AJ$3:$AJ$98,"&lt;="&amp;P$2)/2</f>
        <v>227.9302194870624</v>
      </c>
      <c r="Q24" s="3">
        <f>SUMIFS('Alle ruter'!$AC$3:$AC$98,'Alle ruter'!$Z$3:$Z$98,"H2",'Alle ruter'!$I$3:$I$98,$A24,'Alle ruter'!$AJ$3:$AJ$98,"&lt;="&amp;Q$2)/2+SUMIFS('Alle ruter'!$AC$3:$AC$98,'Alle ruter'!$Z$3:$Z$98,"H2",'Alle ruter'!$J$3:$J$98,$A24,'Alle ruter'!$AJ$3:$AJ$98,"&lt;="&amp;Q$2)/2</f>
        <v>227.9302194870624</v>
      </c>
      <c r="R24" s="3">
        <f>SUMIFS('Alle ruter'!$AC$3:$AC$98,'Alle ruter'!$Z$3:$Z$98,"H2",'Alle ruter'!$I$3:$I$98,$A24,'Alle ruter'!$AJ$3:$AJ$98,"&lt;="&amp;R$2)/2+SUMIFS('Alle ruter'!$AC$3:$AC$98,'Alle ruter'!$Z$3:$Z$98,"H2",'Alle ruter'!$J$3:$J$98,$A24,'Alle ruter'!$AJ$3:$AJ$98,"&lt;="&amp;R$2)/2</f>
        <v>227.9302194870624</v>
      </c>
      <c r="S24" s="3">
        <f>SUMIFS('Alle ruter'!$AC$3:$AC$98,'Alle ruter'!$Z$3:$Z$98,"H2",'Alle ruter'!$I$3:$I$98,$A24,'Alle ruter'!$AJ$3:$AJ$98,"&lt;="&amp;S$2)/2+SUMIFS('Alle ruter'!$AC$3:$AC$98,'Alle ruter'!$Z$3:$Z$98,"H2",'Alle ruter'!$J$3:$J$98,$A24,'Alle ruter'!$AJ$3:$AJ$98,"&lt;="&amp;S$2)/2</f>
        <v>227.9302194870624</v>
      </c>
      <c r="T24" s="3"/>
    </row>
    <row r="25" spans="1:20" x14ac:dyDescent="0.3">
      <c r="A25" t="s">
        <v>129</v>
      </c>
      <c r="B25" t="s">
        <v>8</v>
      </c>
      <c r="C25" s="3">
        <f>COUNTIF('Alle ruter'!$I$3:$I$98,'H2 pr endeplass'!A25)+COUNTIFS('Alle ruter'!$J$3:$J$98,'H2 pr endeplass'!A25,'Alle ruter'!$K$3:$K$98,"Nei")</f>
        <v>1</v>
      </c>
      <c r="D25" s="3">
        <f>COUNTIFS('Alle ruter'!$I$3:$I$98,'H2 pr endeplass'!A25,'Alle ruter'!$Z$3:$Z$98,"H2")+COUNTIFS('Alle ruter'!$J$3:$J$98,'H2 pr endeplass'!A25,'Alle ruter'!$K$3:$K$98,"Nei",'Alle ruter'!$Z$3:$Z$98,"H2")</f>
        <v>1</v>
      </c>
      <c r="E25">
        <v>0</v>
      </c>
      <c r="F25" s="3">
        <f>SUMIFS('Alle ruter'!$AC$3:$AC$98,'Alle ruter'!$Z$3:$Z$98,"H2",'Alle ruter'!$I$3:$I$98,$A25,'Alle ruter'!$AJ$3:$AJ$98,"&lt;="&amp;F$2)/2+SUMIFS('Alle ruter'!$AC$3:$AC$98,'Alle ruter'!$Z$3:$Z$98,"H2",'Alle ruter'!$J$3:$J$98,$A25,'Alle ruter'!$AJ$3:$AJ$98,"&lt;="&amp;F$2)/2</f>
        <v>0</v>
      </c>
      <c r="G25" s="3">
        <f>SUMIFS('Alle ruter'!$AC$3:$AC$98,'Alle ruter'!$Z$3:$Z$98,"H2",'Alle ruter'!$I$3:$I$98,$A25,'Alle ruter'!$AJ$3:$AJ$98,"&lt;="&amp;G$2)/2+SUMIFS('Alle ruter'!$AC$3:$AC$98,'Alle ruter'!$Z$3:$Z$98,"H2",'Alle ruter'!$J$3:$J$98,$A25,'Alle ruter'!$AJ$3:$AJ$98,"&lt;="&amp;G$2)/2</f>
        <v>0</v>
      </c>
      <c r="H25" s="3">
        <f>SUMIFS('Alle ruter'!$AC$3:$AC$98,'Alle ruter'!$Z$3:$Z$98,"H2",'Alle ruter'!$I$3:$I$98,$A25,'Alle ruter'!$AJ$3:$AJ$98,"&lt;="&amp;H$2)/2+SUMIFS('Alle ruter'!$AC$3:$AC$98,'Alle ruter'!$Z$3:$Z$98,"H2",'Alle ruter'!$J$3:$J$98,$A25,'Alle ruter'!$AJ$3:$AJ$98,"&lt;="&amp;H$2)/2</f>
        <v>0</v>
      </c>
      <c r="I25" s="3">
        <f>SUMIFS('Alle ruter'!$AC$3:$AC$98,'Alle ruter'!$Z$3:$Z$98,"H2",'Alle ruter'!$I$3:$I$98,$A25,'Alle ruter'!$AJ$3:$AJ$98,"&lt;="&amp;I$2)/2+SUMIFS('Alle ruter'!$AC$3:$AC$98,'Alle ruter'!$Z$3:$Z$98,"H2",'Alle ruter'!$J$3:$J$98,$A25,'Alle ruter'!$AJ$3:$AJ$98,"&lt;="&amp;I$2)/2</f>
        <v>0</v>
      </c>
      <c r="J25" s="3">
        <f>SUMIFS('Alle ruter'!$AC$3:$AC$98,'Alle ruter'!$Z$3:$Z$98,"H2",'Alle ruter'!$I$3:$I$98,$A25,'Alle ruter'!$AJ$3:$AJ$98,"&lt;="&amp;J$2)/2+SUMIFS('Alle ruter'!$AC$3:$AC$98,'Alle ruter'!$Z$3:$Z$98,"H2",'Alle ruter'!$J$3:$J$98,$A25,'Alle ruter'!$AJ$3:$AJ$98,"&lt;="&amp;J$2)/2</f>
        <v>226.85345875190262</v>
      </c>
      <c r="K25" s="3">
        <f>SUMIFS('Alle ruter'!$AC$3:$AC$98,'Alle ruter'!$Z$3:$Z$98,"H2",'Alle ruter'!$I$3:$I$98,$A25,'Alle ruter'!$AJ$3:$AJ$98,"&lt;="&amp;K$2)/2+SUMIFS('Alle ruter'!$AC$3:$AC$98,'Alle ruter'!$Z$3:$Z$98,"H2",'Alle ruter'!$J$3:$J$98,$A25,'Alle ruter'!$AJ$3:$AJ$98,"&lt;="&amp;K$2)/2</f>
        <v>226.85345875190262</v>
      </c>
      <c r="L25" s="3">
        <f>SUMIFS('Alle ruter'!$AC$3:$AC$98,'Alle ruter'!$Z$3:$Z$98,"H2",'Alle ruter'!$I$3:$I$98,$A25,'Alle ruter'!$AJ$3:$AJ$98,"&lt;="&amp;L$2)/2+SUMIFS('Alle ruter'!$AC$3:$AC$98,'Alle ruter'!$Z$3:$Z$98,"H2",'Alle ruter'!$J$3:$J$98,$A25,'Alle ruter'!$AJ$3:$AJ$98,"&lt;="&amp;L$2)/2</f>
        <v>226.85345875190262</v>
      </c>
      <c r="M25" s="3">
        <f>SUMIFS('Alle ruter'!$AC$3:$AC$98,'Alle ruter'!$Z$3:$Z$98,"H2",'Alle ruter'!$I$3:$I$98,$A25,'Alle ruter'!$AJ$3:$AJ$98,"&lt;="&amp;M$2)/2+SUMIFS('Alle ruter'!$AC$3:$AC$98,'Alle ruter'!$Z$3:$Z$98,"H2",'Alle ruter'!$J$3:$J$98,$A25,'Alle ruter'!$AJ$3:$AJ$98,"&lt;="&amp;M$2)/2</f>
        <v>226.85345875190262</v>
      </c>
      <c r="N25" s="3">
        <f>SUMIFS('Alle ruter'!$AC$3:$AC$98,'Alle ruter'!$Z$3:$Z$98,"H2",'Alle ruter'!$I$3:$I$98,$A25,'Alle ruter'!$AJ$3:$AJ$98,"&lt;="&amp;N$2)/2+SUMIFS('Alle ruter'!$AC$3:$AC$98,'Alle ruter'!$Z$3:$Z$98,"H2",'Alle ruter'!$J$3:$J$98,$A25,'Alle ruter'!$AJ$3:$AJ$98,"&lt;="&amp;N$2)/2</f>
        <v>226.85345875190262</v>
      </c>
      <c r="O25" s="3">
        <f>SUMIFS('Alle ruter'!$AC$3:$AC$98,'Alle ruter'!$Z$3:$Z$98,"H2",'Alle ruter'!$I$3:$I$98,$A25,'Alle ruter'!$AJ$3:$AJ$98,"&lt;="&amp;O$2)/2+SUMIFS('Alle ruter'!$AC$3:$AC$98,'Alle ruter'!$Z$3:$Z$98,"H2",'Alle ruter'!$J$3:$J$98,$A25,'Alle ruter'!$AJ$3:$AJ$98,"&lt;="&amp;O$2)/2</f>
        <v>226.85345875190262</v>
      </c>
      <c r="P25" s="3">
        <f>SUMIFS('Alle ruter'!$AC$3:$AC$98,'Alle ruter'!$Z$3:$Z$98,"H2",'Alle ruter'!$I$3:$I$98,$A25,'Alle ruter'!$AJ$3:$AJ$98,"&lt;="&amp;P$2)/2+SUMIFS('Alle ruter'!$AC$3:$AC$98,'Alle ruter'!$Z$3:$Z$98,"H2",'Alle ruter'!$J$3:$J$98,$A25,'Alle ruter'!$AJ$3:$AJ$98,"&lt;="&amp;P$2)/2</f>
        <v>226.85345875190262</v>
      </c>
      <c r="Q25" s="3">
        <f>SUMIFS('Alle ruter'!$AC$3:$AC$98,'Alle ruter'!$Z$3:$Z$98,"H2",'Alle ruter'!$I$3:$I$98,$A25,'Alle ruter'!$AJ$3:$AJ$98,"&lt;="&amp;Q$2)/2+SUMIFS('Alle ruter'!$AC$3:$AC$98,'Alle ruter'!$Z$3:$Z$98,"H2",'Alle ruter'!$J$3:$J$98,$A25,'Alle ruter'!$AJ$3:$AJ$98,"&lt;="&amp;Q$2)/2</f>
        <v>226.85345875190262</v>
      </c>
      <c r="R25" s="3">
        <f>SUMIFS('Alle ruter'!$AC$3:$AC$98,'Alle ruter'!$Z$3:$Z$98,"H2",'Alle ruter'!$I$3:$I$98,$A25,'Alle ruter'!$AJ$3:$AJ$98,"&lt;="&amp;R$2)/2+SUMIFS('Alle ruter'!$AC$3:$AC$98,'Alle ruter'!$Z$3:$Z$98,"H2",'Alle ruter'!$J$3:$J$98,$A25,'Alle ruter'!$AJ$3:$AJ$98,"&lt;="&amp;R$2)/2</f>
        <v>226.85345875190262</v>
      </c>
      <c r="S25" s="3">
        <f>SUMIFS('Alle ruter'!$AC$3:$AC$98,'Alle ruter'!$Z$3:$Z$98,"H2",'Alle ruter'!$I$3:$I$98,$A25,'Alle ruter'!$AJ$3:$AJ$98,"&lt;="&amp;S$2)/2+SUMIFS('Alle ruter'!$AC$3:$AC$98,'Alle ruter'!$Z$3:$Z$98,"H2",'Alle ruter'!$J$3:$J$98,$A25,'Alle ruter'!$AJ$3:$AJ$98,"&lt;="&amp;S$2)/2</f>
        <v>226.85345875190262</v>
      </c>
      <c r="T25" s="3"/>
    </row>
    <row r="26" spans="1:20" x14ac:dyDescent="0.3">
      <c r="A26" t="s">
        <v>130</v>
      </c>
      <c r="B26" t="s">
        <v>8</v>
      </c>
      <c r="C26" s="3">
        <f>COUNTIF('Alle ruter'!$I$3:$I$98,'H2 pr endeplass'!A26)+COUNTIFS('Alle ruter'!$J$3:$J$98,'H2 pr endeplass'!A26,'Alle ruter'!$K$3:$K$98,"Nei")</f>
        <v>1</v>
      </c>
      <c r="D26" s="3">
        <f>COUNTIFS('Alle ruter'!$I$3:$I$98,'H2 pr endeplass'!A26,'Alle ruter'!$Z$3:$Z$98,"H2")+COUNTIFS('Alle ruter'!$J$3:$J$98,'H2 pr endeplass'!A26,'Alle ruter'!$K$3:$K$98,"Nei",'Alle ruter'!$Z$3:$Z$98,"H2")</f>
        <v>1</v>
      </c>
      <c r="E26">
        <v>0</v>
      </c>
      <c r="F26" s="3">
        <f>SUMIFS('Alle ruter'!$AC$3:$AC$98,'Alle ruter'!$Z$3:$Z$98,"H2",'Alle ruter'!$I$3:$I$98,$A26,'Alle ruter'!$AJ$3:$AJ$98,"&lt;="&amp;F$2)/2+SUMIFS('Alle ruter'!$AC$3:$AC$98,'Alle ruter'!$Z$3:$Z$98,"H2",'Alle ruter'!$J$3:$J$98,$A26,'Alle ruter'!$AJ$3:$AJ$98,"&lt;="&amp;F$2)/2</f>
        <v>0</v>
      </c>
      <c r="G26" s="3">
        <f>SUMIFS('Alle ruter'!$AC$3:$AC$98,'Alle ruter'!$Z$3:$Z$98,"H2",'Alle ruter'!$I$3:$I$98,$A26,'Alle ruter'!$AJ$3:$AJ$98,"&lt;="&amp;G$2)/2+SUMIFS('Alle ruter'!$AC$3:$AC$98,'Alle ruter'!$Z$3:$Z$98,"H2",'Alle ruter'!$J$3:$J$98,$A26,'Alle ruter'!$AJ$3:$AJ$98,"&lt;="&amp;G$2)/2</f>
        <v>0</v>
      </c>
      <c r="H26" s="3">
        <f>SUMIFS('Alle ruter'!$AC$3:$AC$98,'Alle ruter'!$Z$3:$Z$98,"H2",'Alle ruter'!$I$3:$I$98,$A26,'Alle ruter'!$AJ$3:$AJ$98,"&lt;="&amp;H$2)/2+SUMIFS('Alle ruter'!$AC$3:$AC$98,'Alle ruter'!$Z$3:$Z$98,"H2",'Alle ruter'!$J$3:$J$98,$A26,'Alle ruter'!$AJ$3:$AJ$98,"&lt;="&amp;H$2)/2</f>
        <v>0</v>
      </c>
      <c r="I26" s="3">
        <f>SUMIFS('Alle ruter'!$AC$3:$AC$98,'Alle ruter'!$Z$3:$Z$98,"H2",'Alle ruter'!$I$3:$I$98,$A26,'Alle ruter'!$AJ$3:$AJ$98,"&lt;="&amp;I$2)/2+SUMIFS('Alle ruter'!$AC$3:$AC$98,'Alle ruter'!$Z$3:$Z$98,"H2",'Alle ruter'!$J$3:$J$98,$A26,'Alle ruter'!$AJ$3:$AJ$98,"&lt;="&amp;I$2)/2</f>
        <v>0</v>
      </c>
      <c r="J26" s="3">
        <f>SUMIFS('Alle ruter'!$AC$3:$AC$98,'Alle ruter'!$Z$3:$Z$98,"H2",'Alle ruter'!$I$3:$I$98,$A26,'Alle ruter'!$AJ$3:$AJ$98,"&lt;="&amp;J$2)/2+SUMIFS('Alle ruter'!$AC$3:$AC$98,'Alle ruter'!$Z$3:$Z$98,"H2",'Alle ruter'!$J$3:$J$98,$A26,'Alle ruter'!$AJ$3:$AJ$98,"&lt;="&amp;J$2)/2</f>
        <v>226.85345875190262</v>
      </c>
      <c r="K26" s="3">
        <f>SUMIFS('Alle ruter'!$AC$3:$AC$98,'Alle ruter'!$Z$3:$Z$98,"H2",'Alle ruter'!$I$3:$I$98,$A26,'Alle ruter'!$AJ$3:$AJ$98,"&lt;="&amp;K$2)/2+SUMIFS('Alle ruter'!$AC$3:$AC$98,'Alle ruter'!$Z$3:$Z$98,"H2",'Alle ruter'!$J$3:$J$98,$A26,'Alle ruter'!$AJ$3:$AJ$98,"&lt;="&amp;K$2)/2</f>
        <v>226.85345875190262</v>
      </c>
      <c r="L26" s="3">
        <f>SUMIFS('Alle ruter'!$AC$3:$AC$98,'Alle ruter'!$Z$3:$Z$98,"H2",'Alle ruter'!$I$3:$I$98,$A26,'Alle ruter'!$AJ$3:$AJ$98,"&lt;="&amp;L$2)/2+SUMIFS('Alle ruter'!$AC$3:$AC$98,'Alle ruter'!$Z$3:$Z$98,"H2",'Alle ruter'!$J$3:$J$98,$A26,'Alle ruter'!$AJ$3:$AJ$98,"&lt;="&amp;L$2)/2</f>
        <v>226.85345875190262</v>
      </c>
      <c r="M26" s="3">
        <f>SUMIFS('Alle ruter'!$AC$3:$AC$98,'Alle ruter'!$Z$3:$Z$98,"H2",'Alle ruter'!$I$3:$I$98,$A26,'Alle ruter'!$AJ$3:$AJ$98,"&lt;="&amp;M$2)/2+SUMIFS('Alle ruter'!$AC$3:$AC$98,'Alle ruter'!$Z$3:$Z$98,"H2",'Alle ruter'!$J$3:$J$98,$A26,'Alle ruter'!$AJ$3:$AJ$98,"&lt;="&amp;M$2)/2</f>
        <v>226.85345875190262</v>
      </c>
      <c r="N26" s="3">
        <f>SUMIFS('Alle ruter'!$AC$3:$AC$98,'Alle ruter'!$Z$3:$Z$98,"H2",'Alle ruter'!$I$3:$I$98,$A26,'Alle ruter'!$AJ$3:$AJ$98,"&lt;="&amp;N$2)/2+SUMIFS('Alle ruter'!$AC$3:$AC$98,'Alle ruter'!$Z$3:$Z$98,"H2",'Alle ruter'!$J$3:$J$98,$A26,'Alle ruter'!$AJ$3:$AJ$98,"&lt;="&amp;N$2)/2</f>
        <v>226.85345875190262</v>
      </c>
      <c r="O26" s="3">
        <f>SUMIFS('Alle ruter'!$AC$3:$AC$98,'Alle ruter'!$Z$3:$Z$98,"H2",'Alle ruter'!$I$3:$I$98,$A26,'Alle ruter'!$AJ$3:$AJ$98,"&lt;="&amp;O$2)/2+SUMIFS('Alle ruter'!$AC$3:$AC$98,'Alle ruter'!$Z$3:$Z$98,"H2",'Alle ruter'!$J$3:$J$98,$A26,'Alle ruter'!$AJ$3:$AJ$98,"&lt;="&amp;O$2)/2</f>
        <v>226.85345875190262</v>
      </c>
      <c r="P26" s="3">
        <f>SUMIFS('Alle ruter'!$AC$3:$AC$98,'Alle ruter'!$Z$3:$Z$98,"H2",'Alle ruter'!$I$3:$I$98,$A26,'Alle ruter'!$AJ$3:$AJ$98,"&lt;="&amp;P$2)/2+SUMIFS('Alle ruter'!$AC$3:$AC$98,'Alle ruter'!$Z$3:$Z$98,"H2",'Alle ruter'!$J$3:$J$98,$A26,'Alle ruter'!$AJ$3:$AJ$98,"&lt;="&amp;P$2)/2</f>
        <v>226.85345875190262</v>
      </c>
      <c r="Q26" s="3">
        <f>SUMIFS('Alle ruter'!$AC$3:$AC$98,'Alle ruter'!$Z$3:$Z$98,"H2",'Alle ruter'!$I$3:$I$98,$A26,'Alle ruter'!$AJ$3:$AJ$98,"&lt;="&amp;Q$2)/2+SUMIFS('Alle ruter'!$AC$3:$AC$98,'Alle ruter'!$Z$3:$Z$98,"H2",'Alle ruter'!$J$3:$J$98,$A26,'Alle ruter'!$AJ$3:$AJ$98,"&lt;="&amp;Q$2)/2</f>
        <v>226.85345875190262</v>
      </c>
      <c r="R26" s="3">
        <f>SUMIFS('Alle ruter'!$AC$3:$AC$98,'Alle ruter'!$Z$3:$Z$98,"H2",'Alle ruter'!$I$3:$I$98,$A26,'Alle ruter'!$AJ$3:$AJ$98,"&lt;="&amp;R$2)/2+SUMIFS('Alle ruter'!$AC$3:$AC$98,'Alle ruter'!$Z$3:$Z$98,"H2",'Alle ruter'!$J$3:$J$98,$A26,'Alle ruter'!$AJ$3:$AJ$98,"&lt;="&amp;R$2)/2</f>
        <v>226.85345875190262</v>
      </c>
      <c r="S26" s="3">
        <f>SUMIFS('Alle ruter'!$AC$3:$AC$98,'Alle ruter'!$Z$3:$Z$98,"H2",'Alle ruter'!$I$3:$I$98,$A26,'Alle ruter'!$AJ$3:$AJ$98,"&lt;="&amp;S$2)/2+SUMIFS('Alle ruter'!$AC$3:$AC$98,'Alle ruter'!$Z$3:$Z$98,"H2",'Alle ruter'!$J$3:$J$98,$A26,'Alle ruter'!$AJ$3:$AJ$98,"&lt;="&amp;S$2)/2</f>
        <v>226.85345875190262</v>
      </c>
      <c r="T26" s="3"/>
    </row>
    <row r="27" spans="1:20" x14ac:dyDescent="0.3">
      <c r="A27" t="s">
        <v>126</v>
      </c>
      <c r="B27" t="s">
        <v>388</v>
      </c>
      <c r="C27" s="3">
        <f>COUNTIF('Alle ruter'!$I$3:$I$98,'H2 pr endeplass'!A27)+COUNTIFS('Alle ruter'!$J$3:$J$98,'H2 pr endeplass'!A27,'Alle ruter'!$K$3:$K$98,"Nei")</f>
        <v>1</v>
      </c>
      <c r="D27" s="3">
        <f>COUNTIFS('Alle ruter'!$I$3:$I$98,'H2 pr endeplass'!A27,'Alle ruter'!$Z$3:$Z$98,"H2")+COUNTIFS('Alle ruter'!$J$3:$J$98,'H2 pr endeplass'!A27,'Alle ruter'!$K$3:$K$98,"Nei",'Alle ruter'!$Z$3:$Z$98,"H2")</f>
        <v>1</v>
      </c>
      <c r="E27">
        <v>0</v>
      </c>
      <c r="F27" s="3">
        <f>SUMIFS('Alle ruter'!$AC$3:$AC$98,'Alle ruter'!$Z$3:$Z$98,"H2",'Alle ruter'!$I$3:$I$98,$A27,'Alle ruter'!$AJ$3:$AJ$98,"&lt;="&amp;F$2)/2+SUMIFS('Alle ruter'!$AC$3:$AC$98,'Alle ruter'!$Z$3:$Z$98,"H2",'Alle ruter'!$J$3:$J$98,$A27,'Alle ruter'!$AJ$3:$AJ$98,"&lt;="&amp;F$2)/2</f>
        <v>0</v>
      </c>
      <c r="G27" s="3">
        <f>SUMIFS('Alle ruter'!$AC$3:$AC$98,'Alle ruter'!$Z$3:$Z$98,"H2",'Alle ruter'!$I$3:$I$98,$A27,'Alle ruter'!$AJ$3:$AJ$98,"&lt;="&amp;G$2)/2+SUMIFS('Alle ruter'!$AC$3:$AC$98,'Alle ruter'!$Z$3:$Z$98,"H2",'Alle ruter'!$J$3:$J$98,$A27,'Alle ruter'!$AJ$3:$AJ$98,"&lt;="&amp;G$2)/2</f>
        <v>0</v>
      </c>
      <c r="H27" s="3">
        <f>SUMIFS('Alle ruter'!$AC$3:$AC$98,'Alle ruter'!$Z$3:$Z$98,"H2",'Alle ruter'!$I$3:$I$98,$A27,'Alle ruter'!$AJ$3:$AJ$98,"&lt;="&amp;H$2)/2+SUMIFS('Alle ruter'!$AC$3:$AC$98,'Alle ruter'!$Z$3:$Z$98,"H2",'Alle ruter'!$J$3:$J$98,$A27,'Alle ruter'!$AJ$3:$AJ$98,"&lt;="&amp;H$2)/2</f>
        <v>0</v>
      </c>
      <c r="I27" s="3">
        <f>SUMIFS('Alle ruter'!$AC$3:$AC$98,'Alle ruter'!$Z$3:$Z$98,"H2",'Alle ruter'!$I$3:$I$98,$A27,'Alle ruter'!$AJ$3:$AJ$98,"&lt;="&amp;I$2)/2+SUMIFS('Alle ruter'!$AC$3:$AC$98,'Alle ruter'!$Z$3:$Z$98,"H2",'Alle ruter'!$J$3:$J$98,$A27,'Alle ruter'!$AJ$3:$AJ$98,"&lt;="&amp;I$2)/2</f>
        <v>0</v>
      </c>
      <c r="J27" s="3">
        <f>SUMIFS('Alle ruter'!$AC$3:$AC$98,'Alle ruter'!$Z$3:$Z$98,"H2",'Alle ruter'!$I$3:$I$98,$A27,'Alle ruter'!$AJ$3:$AJ$98,"&lt;="&amp;J$2)/2+SUMIFS('Alle ruter'!$AC$3:$AC$98,'Alle ruter'!$Z$3:$Z$98,"H2",'Alle ruter'!$J$3:$J$98,$A27,'Alle ruter'!$AJ$3:$AJ$98,"&lt;="&amp;J$2)/2</f>
        <v>0</v>
      </c>
      <c r="K27" s="3">
        <f>SUMIFS('Alle ruter'!$AC$3:$AC$98,'Alle ruter'!$Z$3:$Z$98,"H2",'Alle ruter'!$I$3:$I$98,$A27,'Alle ruter'!$AJ$3:$AJ$98,"&lt;="&amp;K$2)/2+SUMIFS('Alle ruter'!$AC$3:$AC$98,'Alle ruter'!$Z$3:$Z$98,"H2",'Alle ruter'!$J$3:$J$98,$A27,'Alle ruter'!$AJ$3:$AJ$98,"&lt;="&amp;K$2)/2</f>
        <v>226.60955162404869</v>
      </c>
      <c r="L27" s="3">
        <f>SUMIFS('Alle ruter'!$AC$3:$AC$98,'Alle ruter'!$Z$3:$Z$98,"H2",'Alle ruter'!$I$3:$I$98,$A27,'Alle ruter'!$AJ$3:$AJ$98,"&lt;="&amp;L$2)/2+SUMIFS('Alle ruter'!$AC$3:$AC$98,'Alle ruter'!$Z$3:$Z$98,"H2",'Alle ruter'!$J$3:$J$98,$A27,'Alle ruter'!$AJ$3:$AJ$98,"&lt;="&amp;L$2)/2</f>
        <v>226.60955162404869</v>
      </c>
      <c r="M27" s="3">
        <f>SUMIFS('Alle ruter'!$AC$3:$AC$98,'Alle ruter'!$Z$3:$Z$98,"H2",'Alle ruter'!$I$3:$I$98,$A27,'Alle ruter'!$AJ$3:$AJ$98,"&lt;="&amp;M$2)/2+SUMIFS('Alle ruter'!$AC$3:$AC$98,'Alle ruter'!$Z$3:$Z$98,"H2",'Alle ruter'!$J$3:$J$98,$A27,'Alle ruter'!$AJ$3:$AJ$98,"&lt;="&amp;M$2)/2</f>
        <v>226.60955162404869</v>
      </c>
      <c r="N27" s="3">
        <f>SUMIFS('Alle ruter'!$AC$3:$AC$98,'Alle ruter'!$Z$3:$Z$98,"H2",'Alle ruter'!$I$3:$I$98,$A27,'Alle ruter'!$AJ$3:$AJ$98,"&lt;="&amp;N$2)/2+SUMIFS('Alle ruter'!$AC$3:$AC$98,'Alle ruter'!$Z$3:$Z$98,"H2",'Alle ruter'!$J$3:$J$98,$A27,'Alle ruter'!$AJ$3:$AJ$98,"&lt;="&amp;N$2)/2</f>
        <v>226.60955162404869</v>
      </c>
      <c r="O27" s="3">
        <f>SUMIFS('Alle ruter'!$AC$3:$AC$98,'Alle ruter'!$Z$3:$Z$98,"H2",'Alle ruter'!$I$3:$I$98,$A27,'Alle ruter'!$AJ$3:$AJ$98,"&lt;="&amp;O$2)/2+SUMIFS('Alle ruter'!$AC$3:$AC$98,'Alle ruter'!$Z$3:$Z$98,"H2",'Alle ruter'!$J$3:$J$98,$A27,'Alle ruter'!$AJ$3:$AJ$98,"&lt;="&amp;O$2)/2</f>
        <v>226.60955162404869</v>
      </c>
      <c r="P27" s="3">
        <f>SUMIFS('Alle ruter'!$AC$3:$AC$98,'Alle ruter'!$Z$3:$Z$98,"H2",'Alle ruter'!$I$3:$I$98,$A27,'Alle ruter'!$AJ$3:$AJ$98,"&lt;="&amp;P$2)/2+SUMIFS('Alle ruter'!$AC$3:$AC$98,'Alle ruter'!$Z$3:$Z$98,"H2",'Alle ruter'!$J$3:$J$98,$A27,'Alle ruter'!$AJ$3:$AJ$98,"&lt;="&amp;P$2)/2</f>
        <v>226.60955162404869</v>
      </c>
      <c r="Q27" s="3">
        <f>SUMIFS('Alle ruter'!$AC$3:$AC$98,'Alle ruter'!$Z$3:$Z$98,"H2",'Alle ruter'!$I$3:$I$98,$A27,'Alle ruter'!$AJ$3:$AJ$98,"&lt;="&amp;Q$2)/2+SUMIFS('Alle ruter'!$AC$3:$AC$98,'Alle ruter'!$Z$3:$Z$98,"H2",'Alle ruter'!$J$3:$J$98,$A27,'Alle ruter'!$AJ$3:$AJ$98,"&lt;="&amp;Q$2)/2</f>
        <v>226.60955162404869</v>
      </c>
      <c r="R27" s="3">
        <f>SUMIFS('Alle ruter'!$AC$3:$AC$98,'Alle ruter'!$Z$3:$Z$98,"H2",'Alle ruter'!$I$3:$I$98,$A27,'Alle ruter'!$AJ$3:$AJ$98,"&lt;="&amp;R$2)/2+SUMIFS('Alle ruter'!$AC$3:$AC$98,'Alle ruter'!$Z$3:$Z$98,"H2",'Alle ruter'!$J$3:$J$98,$A27,'Alle ruter'!$AJ$3:$AJ$98,"&lt;="&amp;R$2)/2</f>
        <v>226.60955162404869</v>
      </c>
      <c r="S27" s="3">
        <f>SUMIFS('Alle ruter'!$AC$3:$AC$98,'Alle ruter'!$Z$3:$Z$98,"H2",'Alle ruter'!$I$3:$I$98,$A27,'Alle ruter'!$AJ$3:$AJ$98,"&lt;="&amp;S$2)/2+SUMIFS('Alle ruter'!$AC$3:$AC$98,'Alle ruter'!$Z$3:$Z$98,"H2",'Alle ruter'!$J$3:$J$98,$A27,'Alle ruter'!$AJ$3:$AJ$98,"&lt;="&amp;S$2)/2</f>
        <v>226.60955162404869</v>
      </c>
      <c r="T27" s="3"/>
    </row>
    <row r="28" spans="1:20" x14ac:dyDescent="0.3">
      <c r="A28" t="s">
        <v>64</v>
      </c>
      <c r="B28" t="s">
        <v>15</v>
      </c>
      <c r="C28" s="3">
        <f>COUNTIF('Alle ruter'!$I$3:$I$98,'H2 pr endeplass'!A29)+COUNTIFS('Alle ruter'!$J$3:$J$98,'H2 pr endeplass'!A29,'Alle ruter'!$K$3:$K$98,"Nei")</f>
        <v>1</v>
      </c>
      <c r="D28" s="3">
        <f>COUNTIFS('Alle ruter'!$I$3:$I$98,'H2 pr endeplass'!A29,'Alle ruter'!$Z$3:$Z$98,"H2")+COUNTIFS('Alle ruter'!$J$3:$J$98,'H2 pr endeplass'!A29,'Alle ruter'!$K$3:$K$98,"Nei",'Alle ruter'!$Z$3:$Z$98,"H2")</f>
        <v>1</v>
      </c>
      <c r="E28">
        <v>0</v>
      </c>
      <c r="F28" s="3">
        <f>SUMIFS('Alle ruter'!$AC$3:$AC$98,'Alle ruter'!$Z$3:$Z$98,"H2",'Alle ruter'!$I$3:$I$98,$A28,'Alle ruter'!$AJ$3:$AJ$98,"&lt;="&amp;F$2)/2+SUMIFS('Alle ruter'!$AC$3:$AC$98,'Alle ruter'!$Z$3:$Z$98,"H2",'Alle ruter'!$J$3:$J$98,$A28,'Alle ruter'!$AJ$3:$AJ$98,"&lt;="&amp;F$2)/2</f>
        <v>213.58332460882798</v>
      </c>
      <c r="G28" s="3">
        <f>SUMIFS('Alle ruter'!$AC$3:$AC$98,'Alle ruter'!$Z$3:$Z$98,"H2",'Alle ruter'!$I$3:$I$98,$A28,'Alle ruter'!$AJ$3:$AJ$98,"&lt;="&amp;G$2)/2+SUMIFS('Alle ruter'!$AC$3:$AC$98,'Alle ruter'!$Z$3:$Z$98,"H2",'Alle ruter'!$J$3:$J$98,$A28,'Alle ruter'!$AJ$3:$AJ$98,"&lt;="&amp;G$2)/2</f>
        <v>213.58332460882798</v>
      </c>
      <c r="H28" s="3">
        <f>SUMIFS('Alle ruter'!$AC$3:$AC$98,'Alle ruter'!$Z$3:$Z$98,"H2",'Alle ruter'!$I$3:$I$98,$A28,'Alle ruter'!$AJ$3:$AJ$98,"&lt;="&amp;H$2)/2+SUMIFS('Alle ruter'!$AC$3:$AC$98,'Alle ruter'!$Z$3:$Z$98,"H2",'Alle ruter'!$J$3:$J$98,$A28,'Alle ruter'!$AJ$3:$AJ$98,"&lt;="&amp;H$2)/2</f>
        <v>213.58332460882798</v>
      </c>
      <c r="I28" s="3">
        <f>SUMIFS('Alle ruter'!$AC$3:$AC$98,'Alle ruter'!$Z$3:$Z$98,"H2",'Alle ruter'!$I$3:$I$98,$A28,'Alle ruter'!$AJ$3:$AJ$98,"&lt;="&amp;I$2)/2+SUMIFS('Alle ruter'!$AC$3:$AC$98,'Alle ruter'!$Z$3:$Z$98,"H2",'Alle ruter'!$J$3:$J$98,$A28,'Alle ruter'!$AJ$3:$AJ$98,"&lt;="&amp;I$2)/2</f>
        <v>213.58332460882798</v>
      </c>
      <c r="J28" s="3">
        <f>SUMIFS('Alle ruter'!$AC$3:$AC$98,'Alle ruter'!$Z$3:$Z$98,"H2",'Alle ruter'!$I$3:$I$98,$A28,'Alle ruter'!$AJ$3:$AJ$98,"&lt;="&amp;J$2)/2+SUMIFS('Alle ruter'!$AC$3:$AC$98,'Alle ruter'!$Z$3:$Z$98,"H2",'Alle ruter'!$J$3:$J$98,$A28,'Alle ruter'!$AJ$3:$AJ$98,"&lt;="&amp;J$2)/2</f>
        <v>213.58332460882798</v>
      </c>
      <c r="K28" s="3">
        <f>SUMIFS('Alle ruter'!$AC$3:$AC$98,'Alle ruter'!$Z$3:$Z$98,"H2",'Alle ruter'!$I$3:$I$98,$A28,'Alle ruter'!$AJ$3:$AJ$98,"&lt;="&amp;K$2)/2+SUMIFS('Alle ruter'!$AC$3:$AC$98,'Alle ruter'!$Z$3:$Z$98,"H2",'Alle ruter'!$J$3:$J$98,$A28,'Alle ruter'!$AJ$3:$AJ$98,"&lt;="&amp;K$2)/2</f>
        <v>213.58332460882798</v>
      </c>
      <c r="L28" s="3">
        <f>SUMIFS('Alle ruter'!$AC$3:$AC$98,'Alle ruter'!$Z$3:$Z$98,"H2",'Alle ruter'!$I$3:$I$98,$A28,'Alle ruter'!$AJ$3:$AJ$98,"&lt;="&amp;L$2)/2+SUMIFS('Alle ruter'!$AC$3:$AC$98,'Alle ruter'!$Z$3:$Z$98,"H2",'Alle ruter'!$J$3:$J$98,$A28,'Alle ruter'!$AJ$3:$AJ$98,"&lt;="&amp;L$2)/2</f>
        <v>213.58332460882798</v>
      </c>
      <c r="M28" s="3">
        <f>SUMIFS('Alle ruter'!$AC$3:$AC$98,'Alle ruter'!$Z$3:$Z$98,"H2",'Alle ruter'!$I$3:$I$98,$A28,'Alle ruter'!$AJ$3:$AJ$98,"&lt;="&amp;M$2)/2+SUMIFS('Alle ruter'!$AC$3:$AC$98,'Alle ruter'!$Z$3:$Z$98,"H2",'Alle ruter'!$J$3:$J$98,$A28,'Alle ruter'!$AJ$3:$AJ$98,"&lt;="&amp;M$2)/2</f>
        <v>213.58332460882798</v>
      </c>
      <c r="N28" s="3">
        <f>SUMIFS('Alle ruter'!$AC$3:$AC$98,'Alle ruter'!$Z$3:$Z$98,"H2",'Alle ruter'!$I$3:$I$98,$A28,'Alle ruter'!$AJ$3:$AJ$98,"&lt;="&amp;N$2)/2+SUMIFS('Alle ruter'!$AC$3:$AC$98,'Alle ruter'!$Z$3:$Z$98,"H2",'Alle ruter'!$J$3:$J$98,$A28,'Alle ruter'!$AJ$3:$AJ$98,"&lt;="&amp;N$2)/2</f>
        <v>213.58332460882798</v>
      </c>
      <c r="O28" s="3">
        <f>SUMIFS('Alle ruter'!$AC$3:$AC$98,'Alle ruter'!$Z$3:$Z$98,"H2",'Alle ruter'!$I$3:$I$98,$A28,'Alle ruter'!$AJ$3:$AJ$98,"&lt;="&amp;O$2)/2+SUMIFS('Alle ruter'!$AC$3:$AC$98,'Alle ruter'!$Z$3:$Z$98,"H2",'Alle ruter'!$J$3:$J$98,$A28,'Alle ruter'!$AJ$3:$AJ$98,"&lt;="&amp;O$2)/2</f>
        <v>213.58332460882798</v>
      </c>
      <c r="P28" s="3">
        <f>SUMIFS('Alle ruter'!$AC$3:$AC$98,'Alle ruter'!$Z$3:$Z$98,"H2",'Alle ruter'!$I$3:$I$98,$A28,'Alle ruter'!$AJ$3:$AJ$98,"&lt;="&amp;P$2)/2+SUMIFS('Alle ruter'!$AC$3:$AC$98,'Alle ruter'!$Z$3:$Z$98,"H2",'Alle ruter'!$J$3:$J$98,$A28,'Alle ruter'!$AJ$3:$AJ$98,"&lt;="&amp;P$2)/2</f>
        <v>213.58332460882798</v>
      </c>
      <c r="Q28" s="3">
        <f>SUMIFS('Alle ruter'!$AC$3:$AC$98,'Alle ruter'!$Z$3:$Z$98,"H2",'Alle ruter'!$I$3:$I$98,$A28,'Alle ruter'!$AJ$3:$AJ$98,"&lt;="&amp;Q$2)/2+SUMIFS('Alle ruter'!$AC$3:$AC$98,'Alle ruter'!$Z$3:$Z$98,"H2",'Alle ruter'!$J$3:$J$98,$A28,'Alle ruter'!$AJ$3:$AJ$98,"&lt;="&amp;Q$2)/2</f>
        <v>213.58332460882798</v>
      </c>
      <c r="R28" s="3">
        <f>SUMIFS('Alle ruter'!$AC$3:$AC$98,'Alle ruter'!$Z$3:$Z$98,"H2",'Alle ruter'!$I$3:$I$98,$A28,'Alle ruter'!$AJ$3:$AJ$98,"&lt;="&amp;R$2)/2+SUMIFS('Alle ruter'!$AC$3:$AC$98,'Alle ruter'!$Z$3:$Z$98,"H2",'Alle ruter'!$J$3:$J$98,$A28,'Alle ruter'!$AJ$3:$AJ$98,"&lt;="&amp;R$2)/2</f>
        <v>213.58332460882798</v>
      </c>
      <c r="S28" s="3">
        <f>SUMIFS('Alle ruter'!$AC$3:$AC$98,'Alle ruter'!$Z$3:$Z$98,"H2",'Alle ruter'!$I$3:$I$98,$A28,'Alle ruter'!$AJ$3:$AJ$98,"&lt;="&amp;S$2)/2+SUMIFS('Alle ruter'!$AC$3:$AC$98,'Alle ruter'!$Z$3:$Z$98,"H2",'Alle ruter'!$J$3:$J$98,$A28,'Alle ruter'!$AJ$3:$AJ$98,"&lt;="&amp;S$2)/2</f>
        <v>213.58332460882798</v>
      </c>
      <c r="T28" s="3"/>
    </row>
    <row r="29" spans="1:20" x14ac:dyDescent="0.3">
      <c r="A29" t="s">
        <v>117</v>
      </c>
      <c r="B29" t="s">
        <v>15</v>
      </c>
      <c r="C29" s="3">
        <f>COUNTIF('Alle ruter'!$I$3:$I$98,'H2 pr endeplass'!A30)+COUNTIFS('Alle ruter'!$J$3:$J$98,'H2 pr endeplass'!A30,'Alle ruter'!$K$3:$K$98,"Nei")</f>
        <v>2</v>
      </c>
      <c r="D29" s="3">
        <f>COUNTIFS('Alle ruter'!$I$3:$I$98,'H2 pr endeplass'!A30,'Alle ruter'!$Z$3:$Z$98,"H2")+COUNTIFS('Alle ruter'!$J$3:$J$98,'H2 pr endeplass'!A30,'Alle ruter'!$K$3:$K$98,"Nei",'Alle ruter'!$Z$3:$Z$98,"H2")</f>
        <v>1</v>
      </c>
      <c r="E29">
        <v>0</v>
      </c>
      <c r="F29" s="3">
        <f>SUMIFS('Alle ruter'!$AC$3:$AC$98,'Alle ruter'!$Z$3:$Z$98,"H2",'Alle ruter'!$I$3:$I$98,$A29,'Alle ruter'!$AJ$3:$AJ$98,"&lt;="&amp;F$2)/2+SUMIFS('Alle ruter'!$AC$3:$AC$98,'Alle ruter'!$Z$3:$Z$98,"H2",'Alle ruter'!$J$3:$J$98,$A29,'Alle ruter'!$AJ$3:$AJ$98,"&lt;="&amp;F$2)/2</f>
        <v>0</v>
      </c>
      <c r="G29" s="3">
        <f>SUMIFS('Alle ruter'!$AC$3:$AC$98,'Alle ruter'!$Z$3:$Z$98,"H2",'Alle ruter'!$I$3:$I$98,$A29,'Alle ruter'!$AJ$3:$AJ$98,"&lt;="&amp;G$2)/2+SUMIFS('Alle ruter'!$AC$3:$AC$98,'Alle ruter'!$Z$3:$Z$98,"H2",'Alle ruter'!$J$3:$J$98,$A29,'Alle ruter'!$AJ$3:$AJ$98,"&lt;="&amp;G$2)/2</f>
        <v>201.51805201765603</v>
      </c>
      <c r="H29" s="3">
        <f>SUMIFS('Alle ruter'!$AC$3:$AC$98,'Alle ruter'!$Z$3:$Z$98,"H2",'Alle ruter'!$I$3:$I$98,$A29,'Alle ruter'!$AJ$3:$AJ$98,"&lt;="&amp;H$2)/2+SUMIFS('Alle ruter'!$AC$3:$AC$98,'Alle ruter'!$Z$3:$Z$98,"H2",'Alle ruter'!$J$3:$J$98,$A29,'Alle ruter'!$AJ$3:$AJ$98,"&lt;="&amp;H$2)/2</f>
        <v>201.51805201765603</v>
      </c>
      <c r="I29" s="3">
        <f>SUMIFS('Alle ruter'!$AC$3:$AC$98,'Alle ruter'!$Z$3:$Z$98,"H2",'Alle ruter'!$I$3:$I$98,$A29,'Alle ruter'!$AJ$3:$AJ$98,"&lt;="&amp;I$2)/2+SUMIFS('Alle ruter'!$AC$3:$AC$98,'Alle ruter'!$Z$3:$Z$98,"H2",'Alle ruter'!$J$3:$J$98,$A29,'Alle ruter'!$AJ$3:$AJ$98,"&lt;="&amp;I$2)/2</f>
        <v>201.51805201765603</v>
      </c>
      <c r="J29" s="3">
        <f>SUMIFS('Alle ruter'!$AC$3:$AC$98,'Alle ruter'!$Z$3:$Z$98,"H2",'Alle ruter'!$I$3:$I$98,$A29,'Alle ruter'!$AJ$3:$AJ$98,"&lt;="&amp;J$2)/2+SUMIFS('Alle ruter'!$AC$3:$AC$98,'Alle ruter'!$Z$3:$Z$98,"H2",'Alle ruter'!$J$3:$J$98,$A29,'Alle ruter'!$AJ$3:$AJ$98,"&lt;="&amp;J$2)/2</f>
        <v>201.51805201765603</v>
      </c>
      <c r="K29" s="3">
        <f>SUMIFS('Alle ruter'!$AC$3:$AC$98,'Alle ruter'!$Z$3:$Z$98,"H2",'Alle ruter'!$I$3:$I$98,$A29,'Alle ruter'!$AJ$3:$AJ$98,"&lt;="&amp;K$2)/2+SUMIFS('Alle ruter'!$AC$3:$AC$98,'Alle ruter'!$Z$3:$Z$98,"H2",'Alle ruter'!$J$3:$J$98,$A29,'Alle ruter'!$AJ$3:$AJ$98,"&lt;="&amp;K$2)/2</f>
        <v>201.51805201765603</v>
      </c>
      <c r="L29" s="3">
        <f>SUMIFS('Alle ruter'!$AC$3:$AC$98,'Alle ruter'!$Z$3:$Z$98,"H2",'Alle ruter'!$I$3:$I$98,$A29,'Alle ruter'!$AJ$3:$AJ$98,"&lt;="&amp;L$2)/2+SUMIFS('Alle ruter'!$AC$3:$AC$98,'Alle ruter'!$Z$3:$Z$98,"H2",'Alle ruter'!$J$3:$J$98,$A29,'Alle ruter'!$AJ$3:$AJ$98,"&lt;="&amp;L$2)/2</f>
        <v>201.51805201765603</v>
      </c>
      <c r="M29" s="3">
        <f>SUMIFS('Alle ruter'!$AC$3:$AC$98,'Alle ruter'!$Z$3:$Z$98,"H2",'Alle ruter'!$I$3:$I$98,$A29,'Alle ruter'!$AJ$3:$AJ$98,"&lt;="&amp;M$2)/2+SUMIFS('Alle ruter'!$AC$3:$AC$98,'Alle ruter'!$Z$3:$Z$98,"H2",'Alle ruter'!$J$3:$J$98,$A29,'Alle ruter'!$AJ$3:$AJ$98,"&lt;="&amp;M$2)/2</f>
        <v>201.51805201765603</v>
      </c>
      <c r="N29" s="3">
        <f>SUMIFS('Alle ruter'!$AC$3:$AC$98,'Alle ruter'!$Z$3:$Z$98,"H2",'Alle ruter'!$I$3:$I$98,$A29,'Alle ruter'!$AJ$3:$AJ$98,"&lt;="&amp;N$2)/2+SUMIFS('Alle ruter'!$AC$3:$AC$98,'Alle ruter'!$Z$3:$Z$98,"H2",'Alle ruter'!$J$3:$J$98,$A29,'Alle ruter'!$AJ$3:$AJ$98,"&lt;="&amp;N$2)/2</f>
        <v>201.51805201765603</v>
      </c>
      <c r="O29" s="3">
        <f>SUMIFS('Alle ruter'!$AC$3:$AC$98,'Alle ruter'!$Z$3:$Z$98,"H2",'Alle ruter'!$I$3:$I$98,$A29,'Alle ruter'!$AJ$3:$AJ$98,"&lt;="&amp;O$2)/2+SUMIFS('Alle ruter'!$AC$3:$AC$98,'Alle ruter'!$Z$3:$Z$98,"H2",'Alle ruter'!$J$3:$J$98,$A29,'Alle ruter'!$AJ$3:$AJ$98,"&lt;="&amp;O$2)/2</f>
        <v>201.51805201765603</v>
      </c>
      <c r="P29" s="3">
        <f>SUMIFS('Alle ruter'!$AC$3:$AC$98,'Alle ruter'!$Z$3:$Z$98,"H2",'Alle ruter'!$I$3:$I$98,$A29,'Alle ruter'!$AJ$3:$AJ$98,"&lt;="&amp;P$2)/2+SUMIFS('Alle ruter'!$AC$3:$AC$98,'Alle ruter'!$Z$3:$Z$98,"H2",'Alle ruter'!$J$3:$J$98,$A29,'Alle ruter'!$AJ$3:$AJ$98,"&lt;="&amp;P$2)/2</f>
        <v>201.51805201765603</v>
      </c>
      <c r="Q29" s="3">
        <f>SUMIFS('Alle ruter'!$AC$3:$AC$98,'Alle ruter'!$Z$3:$Z$98,"H2",'Alle ruter'!$I$3:$I$98,$A29,'Alle ruter'!$AJ$3:$AJ$98,"&lt;="&amp;Q$2)/2+SUMIFS('Alle ruter'!$AC$3:$AC$98,'Alle ruter'!$Z$3:$Z$98,"H2",'Alle ruter'!$J$3:$J$98,$A29,'Alle ruter'!$AJ$3:$AJ$98,"&lt;="&amp;Q$2)/2</f>
        <v>201.51805201765603</v>
      </c>
      <c r="R29" s="3">
        <f>SUMIFS('Alle ruter'!$AC$3:$AC$98,'Alle ruter'!$Z$3:$Z$98,"H2",'Alle ruter'!$I$3:$I$98,$A29,'Alle ruter'!$AJ$3:$AJ$98,"&lt;="&amp;R$2)/2+SUMIFS('Alle ruter'!$AC$3:$AC$98,'Alle ruter'!$Z$3:$Z$98,"H2",'Alle ruter'!$J$3:$J$98,$A29,'Alle ruter'!$AJ$3:$AJ$98,"&lt;="&amp;R$2)/2</f>
        <v>201.51805201765603</v>
      </c>
      <c r="S29" s="3">
        <f>SUMIFS('Alle ruter'!$AC$3:$AC$98,'Alle ruter'!$Z$3:$Z$98,"H2",'Alle ruter'!$I$3:$I$98,$A29,'Alle ruter'!$AJ$3:$AJ$98,"&lt;="&amp;S$2)/2+SUMIFS('Alle ruter'!$AC$3:$AC$98,'Alle ruter'!$Z$3:$Z$98,"H2",'Alle ruter'!$J$3:$J$98,$A29,'Alle ruter'!$AJ$3:$AJ$98,"&lt;="&amp;S$2)/2</f>
        <v>201.51805201765603</v>
      </c>
      <c r="T29" s="3"/>
    </row>
    <row r="30" spans="1:20" x14ac:dyDescent="0.3">
      <c r="A30" t="s">
        <v>131</v>
      </c>
      <c r="B30" t="s">
        <v>15</v>
      </c>
      <c r="C30" s="3">
        <f>COUNTIF('Alle ruter'!$I$3:$I$98,'H2 pr endeplass'!A31)+COUNTIFS('Alle ruter'!$J$3:$J$98,'H2 pr endeplass'!A31,'Alle ruter'!$K$3:$K$98,"Nei")</f>
        <v>1</v>
      </c>
      <c r="D30" s="3">
        <f>COUNTIFS('Alle ruter'!$I$3:$I$98,'H2 pr endeplass'!A31,'Alle ruter'!$Z$3:$Z$98,"H2")+COUNTIFS('Alle ruter'!$J$3:$J$98,'H2 pr endeplass'!A31,'Alle ruter'!$K$3:$K$98,"Nei",'Alle ruter'!$Z$3:$Z$98,"H2")</f>
        <v>1</v>
      </c>
      <c r="E30">
        <v>0</v>
      </c>
      <c r="F30" s="3">
        <f>SUMIFS('Alle ruter'!$AC$3:$AC$98,'Alle ruter'!$Z$3:$Z$98,"H2",'Alle ruter'!$I$3:$I$98,$A30,'Alle ruter'!$AJ$3:$AJ$98,"&lt;="&amp;F$2)/2+SUMIFS('Alle ruter'!$AC$3:$AC$98,'Alle ruter'!$Z$3:$Z$98,"H2",'Alle ruter'!$J$3:$J$98,$A30,'Alle ruter'!$AJ$3:$AJ$98,"&lt;="&amp;F$2)/2</f>
        <v>181.92556750273974</v>
      </c>
      <c r="G30" s="3">
        <f>SUMIFS('Alle ruter'!$AC$3:$AC$98,'Alle ruter'!$Z$3:$Z$98,"H2",'Alle ruter'!$I$3:$I$98,$A30,'Alle ruter'!$AJ$3:$AJ$98,"&lt;="&amp;G$2)/2+SUMIFS('Alle ruter'!$AC$3:$AC$98,'Alle ruter'!$Z$3:$Z$98,"H2",'Alle ruter'!$J$3:$J$98,$A30,'Alle ruter'!$AJ$3:$AJ$98,"&lt;="&amp;G$2)/2</f>
        <v>181.92556750273974</v>
      </c>
      <c r="H30" s="3">
        <f>SUMIFS('Alle ruter'!$AC$3:$AC$98,'Alle ruter'!$Z$3:$Z$98,"H2",'Alle ruter'!$I$3:$I$98,$A30,'Alle ruter'!$AJ$3:$AJ$98,"&lt;="&amp;H$2)/2+SUMIFS('Alle ruter'!$AC$3:$AC$98,'Alle ruter'!$Z$3:$Z$98,"H2",'Alle ruter'!$J$3:$J$98,$A30,'Alle ruter'!$AJ$3:$AJ$98,"&lt;="&amp;H$2)/2</f>
        <v>181.92556750273974</v>
      </c>
      <c r="I30" s="3">
        <f>SUMIFS('Alle ruter'!$AC$3:$AC$98,'Alle ruter'!$Z$3:$Z$98,"H2",'Alle ruter'!$I$3:$I$98,$A30,'Alle ruter'!$AJ$3:$AJ$98,"&lt;="&amp;I$2)/2+SUMIFS('Alle ruter'!$AC$3:$AC$98,'Alle ruter'!$Z$3:$Z$98,"H2",'Alle ruter'!$J$3:$J$98,$A30,'Alle ruter'!$AJ$3:$AJ$98,"&lt;="&amp;I$2)/2</f>
        <v>181.92556750273974</v>
      </c>
      <c r="J30" s="3">
        <f>SUMIFS('Alle ruter'!$AC$3:$AC$98,'Alle ruter'!$Z$3:$Z$98,"H2",'Alle ruter'!$I$3:$I$98,$A30,'Alle ruter'!$AJ$3:$AJ$98,"&lt;="&amp;J$2)/2+SUMIFS('Alle ruter'!$AC$3:$AC$98,'Alle ruter'!$Z$3:$Z$98,"H2",'Alle ruter'!$J$3:$J$98,$A30,'Alle ruter'!$AJ$3:$AJ$98,"&lt;="&amp;J$2)/2</f>
        <v>181.92556750273974</v>
      </c>
      <c r="K30" s="3">
        <f>SUMIFS('Alle ruter'!$AC$3:$AC$98,'Alle ruter'!$Z$3:$Z$98,"H2",'Alle ruter'!$I$3:$I$98,$A30,'Alle ruter'!$AJ$3:$AJ$98,"&lt;="&amp;K$2)/2+SUMIFS('Alle ruter'!$AC$3:$AC$98,'Alle ruter'!$Z$3:$Z$98,"H2",'Alle ruter'!$J$3:$J$98,$A30,'Alle ruter'!$AJ$3:$AJ$98,"&lt;="&amp;K$2)/2</f>
        <v>181.92556750273974</v>
      </c>
      <c r="L30" s="3">
        <f>SUMIFS('Alle ruter'!$AC$3:$AC$98,'Alle ruter'!$Z$3:$Z$98,"H2",'Alle ruter'!$I$3:$I$98,$A30,'Alle ruter'!$AJ$3:$AJ$98,"&lt;="&amp;L$2)/2+SUMIFS('Alle ruter'!$AC$3:$AC$98,'Alle ruter'!$Z$3:$Z$98,"H2",'Alle ruter'!$J$3:$J$98,$A30,'Alle ruter'!$AJ$3:$AJ$98,"&lt;="&amp;L$2)/2</f>
        <v>181.92556750273974</v>
      </c>
      <c r="M30" s="3">
        <f>SUMIFS('Alle ruter'!$AC$3:$AC$98,'Alle ruter'!$Z$3:$Z$98,"H2",'Alle ruter'!$I$3:$I$98,$A30,'Alle ruter'!$AJ$3:$AJ$98,"&lt;="&amp;M$2)/2+SUMIFS('Alle ruter'!$AC$3:$AC$98,'Alle ruter'!$Z$3:$Z$98,"H2",'Alle ruter'!$J$3:$J$98,$A30,'Alle ruter'!$AJ$3:$AJ$98,"&lt;="&amp;M$2)/2</f>
        <v>181.92556750273974</v>
      </c>
      <c r="N30" s="3">
        <f>SUMIFS('Alle ruter'!$AC$3:$AC$98,'Alle ruter'!$Z$3:$Z$98,"H2",'Alle ruter'!$I$3:$I$98,$A30,'Alle ruter'!$AJ$3:$AJ$98,"&lt;="&amp;N$2)/2+SUMIFS('Alle ruter'!$AC$3:$AC$98,'Alle ruter'!$Z$3:$Z$98,"H2",'Alle ruter'!$J$3:$J$98,$A30,'Alle ruter'!$AJ$3:$AJ$98,"&lt;="&amp;N$2)/2</f>
        <v>181.92556750273974</v>
      </c>
      <c r="O30" s="3">
        <f>SUMIFS('Alle ruter'!$AC$3:$AC$98,'Alle ruter'!$Z$3:$Z$98,"H2",'Alle ruter'!$I$3:$I$98,$A30,'Alle ruter'!$AJ$3:$AJ$98,"&lt;="&amp;O$2)/2+SUMIFS('Alle ruter'!$AC$3:$AC$98,'Alle ruter'!$Z$3:$Z$98,"H2",'Alle ruter'!$J$3:$J$98,$A30,'Alle ruter'!$AJ$3:$AJ$98,"&lt;="&amp;O$2)/2</f>
        <v>181.92556750273974</v>
      </c>
      <c r="P30" s="3">
        <f>SUMIFS('Alle ruter'!$AC$3:$AC$98,'Alle ruter'!$Z$3:$Z$98,"H2",'Alle ruter'!$I$3:$I$98,$A30,'Alle ruter'!$AJ$3:$AJ$98,"&lt;="&amp;P$2)/2+SUMIFS('Alle ruter'!$AC$3:$AC$98,'Alle ruter'!$Z$3:$Z$98,"H2",'Alle ruter'!$J$3:$J$98,$A30,'Alle ruter'!$AJ$3:$AJ$98,"&lt;="&amp;P$2)/2</f>
        <v>181.92556750273974</v>
      </c>
      <c r="Q30" s="3">
        <f>SUMIFS('Alle ruter'!$AC$3:$AC$98,'Alle ruter'!$Z$3:$Z$98,"H2",'Alle ruter'!$I$3:$I$98,$A30,'Alle ruter'!$AJ$3:$AJ$98,"&lt;="&amp;Q$2)/2+SUMIFS('Alle ruter'!$AC$3:$AC$98,'Alle ruter'!$Z$3:$Z$98,"H2",'Alle ruter'!$J$3:$J$98,$A30,'Alle ruter'!$AJ$3:$AJ$98,"&lt;="&amp;Q$2)/2</f>
        <v>181.92556750273974</v>
      </c>
      <c r="R30" s="3">
        <f>SUMIFS('Alle ruter'!$AC$3:$AC$98,'Alle ruter'!$Z$3:$Z$98,"H2",'Alle ruter'!$I$3:$I$98,$A30,'Alle ruter'!$AJ$3:$AJ$98,"&lt;="&amp;R$2)/2+SUMIFS('Alle ruter'!$AC$3:$AC$98,'Alle ruter'!$Z$3:$Z$98,"H2",'Alle ruter'!$J$3:$J$98,$A30,'Alle ruter'!$AJ$3:$AJ$98,"&lt;="&amp;R$2)/2</f>
        <v>181.92556750273974</v>
      </c>
      <c r="S30" s="3">
        <f>SUMIFS('Alle ruter'!$AC$3:$AC$98,'Alle ruter'!$Z$3:$Z$98,"H2",'Alle ruter'!$I$3:$I$98,$A30,'Alle ruter'!$AJ$3:$AJ$98,"&lt;="&amp;S$2)/2+SUMIFS('Alle ruter'!$AC$3:$AC$98,'Alle ruter'!$Z$3:$Z$98,"H2",'Alle ruter'!$J$3:$J$98,$A30,'Alle ruter'!$AJ$3:$AJ$98,"&lt;="&amp;S$2)/2</f>
        <v>181.92556750273974</v>
      </c>
      <c r="T30" s="3"/>
    </row>
    <row r="31" spans="1:20" x14ac:dyDescent="0.3">
      <c r="A31" t="s">
        <v>119</v>
      </c>
      <c r="B31" t="s">
        <v>19</v>
      </c>
      <c r="C31" s="3">
        <f>COUNTIF('Alle ruter'!$I$3:$I$98,'H2 pr endeplass'!A32)+COUNTIFS('Alle ruter'!$J$3:$J$98,'H2 pr endeplass'!A32,'Alle ruter'!$K$3:$K$98,"Nei")</f>
        <v>1</v>
      </c>
      <c r="D31" s="3">
        <f>COUNTIFS('Alle ruter'!$I$3:$I$98,'H2 pr endeplass'!A32,'Alle ruter'!$Z$3:$Z$98,"H2")+COUNTIFS('Alle ruter'!$J$3:$J$98,'H2 pr endeplass'!A32,'Alle ruter'!$K$3:$K$98,"Nei",'Alle ruter'!$Z$3:$Z$98,"H2")</f>
        <v>1</v>
      </c>
      <c r="E31">
        <v>0</v>
      </c>
      <c r="F31" s="3">
        <f>SUMIFS('Alle ruter'!$AC$3:$AC$98,'Alle ruter'!$Z$3:$Z$98,"H2",'Alle ruter'!$I$3:$I$98,$A31,'Alle ruter'!$AJ$3:$AJ$98,"&lt;="&amp;F$2)/2+SUMIFS('Alle ruter'!$AC$3:$AC$98,'Alle ruter'!$Z$3:$Z$98,"H2",'Alle ruter'!$J$3:$J$98,$A31,'Alle ruter'!$AJ$3:$AJ$98,"&lt;="&amp;F$2)/2</f>
        <v>0</v>
      </c>
      <c r="G31" s="3">
        <f>SUMIFS('Alle ruter'!$AC$3:$AC$98,'Alle ruter'!$Z$3:$Z$98,"H2",'Alle ruter'!$I$3:$I$98,$A31,'Alle ruter'!$AJ$3:$AJ$98,"&lt;="&amp;G$2)/2+SUMIFS('Alle ruter'!$AC$3:$AC$98,'Alle ruter'!$Z$3:$Z$98,"H2",'Alle ruter'!$J$3:$J$98,$A31,'Alle ruter'!$AJ$3:$AJ$98,"&lt;="&amp;G$2)/2</f>
        <v>0</v>
      </c>
      <c r="H31" s="3">
        <f>SUMIFS('Alle ruter'!$AC$3:$AC$98,'Alle ruter'!$Z$3:$Z$98,"H2",'Alle ruter'!$I$3:$I$98,$A31,'Alle ruter'!$AJ$3:$AJ$98,"&lt;="&amp;H$2)/2+SUMIFS('Alle ruter'!$AC$3:$AC$98,'Alle ruter'!$Z$3:$Z$98,"H2",'Alle ruter'!$J$3:$J$98,$A31,'Alle ruter'!$AJ$3:$AJ$98,"&lt;="&amp;H$2)/2</f>
        <v>0</v>
      </c>
      <c r="I31" s="3">
        <f>SUMIFS('Alle ruter'!$AC$3:$AC$98,'Alle ruter'!$Z$3:$Z$98,"H2",'Alle ruter'!$I$3:$I$98,$A31,'Alle ruter'!$AJ$3:$AJ$98,"&lt;="&amp;I$2)/2+SUMIFS('Alle ruter'!$AC$3:$AC$98,'Alle ruter'!$Z$3:$Z$98,"H2",'Alle ruter'!$J$3:$J$98,$A31,'Alle ruter'!$AJ$3:$AJ$98,"&lt;="&amp;I$2)/2</f>
        <v>0</v>
      </c>
      <c r="J31" s="3">
        <f>SUMIFS('Alle ruter'!$AC$3:$AC$98,'Alle ruter'!$Z$3:$Z$98,"H2",'Alle ruter'!$I$3:$I$98,$A31,'Alle ruter'!$AJ$3:$AJ$98,"&lt;="&amp;J$2)/2+SUMIFS('Alle ruter'!$AC$3:$AC$98,'Alle ruter'!$Z$3:$Z$98,"H2",'Alle ruter'!$J$3:$J$98,$A31,'Alle ruter'!$AJ$3:$AJ$98,"&lt;="&amp;J$2)/2</f>
        <v>0</v>
      </c>
      <c r="K31" s="3">
        <f>SUMIFS('Alle ruter'!$AC$3:$AC$98,'Alle ruter'!$Z$3:$Z$98,"H2",'Alle ruter'!$I$3:$I$98,$A31,'Alle ruter'!$AJ$3:$AJ$98,"&lt;="&amp;K$2)/2+SUMIFS('Alle ruter'!$AC$3:$AC$98,'Alle ruter'!$Z$3:$Z$98,"H2",'Alle ruter'!$J$3:$J$98,$A31,'Alle ruter'!$AJ$3:$AJ$98,"&lt;="&amp;K$2)/2</f>
        <v>0</v>
      </c>
      <c r="L31" s="3">
        <f>SUMIFS('Alle ruter'!$AC$3:$AC$98,'Alle ruter'!$Z$3:$Z$98,"H2",'Alle ruter'!$I$3:$I$98,$A31,'Alle ruter'!$AJ$3:$AJ$98,"&lt;="&amp;L$2)/2+SUMIFS('Alle ruter'!$AC$3:$AC$98,'Alle ruter'!$Z$3:$Z$98,"H2",'Alle ruter'!$J$3:$J$98,$A31,'Alle ruter'!$AJ$3:$AJ$98,"&lt;="&amp;L$2)/2</f>
        <v>0</v>
      </c>
      <c r="M31" s="3">
        <f>SUMIFS('Alle ruter'!$AC$3:$AC$98,'Alle ruter'!$Z$3:$Z$98,"H2",'Alle ruter'!$I$3:$I$98,$A31,'Alle ruter'!$AJ$3:$AJ$98,"&lt;="&amp;M$2)/2+SUMIFS('Alle ruter'!$AC$3:$AC$98,'Alle ruter'!$Z$3:$Z$98,"H2",'Alle ruter'!$J$3:$J$98,$A31,'Alle ruter'!$AJ$3:$AJ$98,"&lt;="&amp;M$2)/2</f>
        <v>0</v>
      </c>
      <c r="N31" s="3">
        <f>SUMIFS('Alle ruter'!$AC$3:$AC$98,'Alle ruter'!$Z$3:$Z$98,"H2",'Alle ruter'!$I$3:$I$98,$A31,'Alle ruter'!$AJ$3:$AJ$98,"&lt;="&amp;N$2)/2+SUMIFS('Alle ruter'!$AC$3:$AC$98,'Alle ruter'!$Z$3:$Z$98,"H2",'Alle ruter'!$J$3:$J$98,$A31,'Alle ruter'!$AJ$3:$AJ$98,"&lt;="&amp;N$2)/2</f>
        <v>154.85366099726028</v>
      </c>
      <c r="O31" s="3">
        <f>SUMIFS('Alle ruter'!$AC$3:$AC$98,'Alle ruter'!$Z$3:$Z$98,"H2",'Alle ruter'!$I$3:$I$98,$A31,'Alle ruter'!$AJ$3:$AJ$98,"&lt;="&amp;O$2)/2+SUMIFS('Alle ruter'!$AC$3:$AC$98,'Alle ruter'!$Z$3:$Z$98,"H2",'Alle ruter'!$J$3:$J$98,$A31,'Alle ruter'!$AJ$3:$AJ$98,"&lt;="&amp;O$2)/2</f>
        <v>154.85366099726028</v>
      </c>
      <c r="P31" s="3">
        <f>SUMIFS('Alle ruter'!$AC$3:$AC$98,'Alle ruter'!$Z$3:$Z$98,"H2",'Alle ruter'!$I$3:$I$98,$A31,'Alle ruter'!$AJ$3:$AJ$98,"&lt;="&amp;P$2)/2+SUMIFS('Alle ruter'!$AC$3:$AC$98,'Alle ruter'!$Z$3:$Z$98,"H2",'Alle ruter'!$J$3:$J$98,$A31,'Alle ruter'!$AJ$3:$AJ$98,"&lt;="&amp;P$2)/2</f>
        <v>154.85366099726028</v>
      </c>
      <c r="Q31" s="3">
        <f>SUMIFS('Alle ruter'!$AC$3:$AC$98,'Alle ruter'!$Z$3:$Z$98,"H2",'Alle ruter'!$I$3:$I$98,$A31,'Alle ruter'!$AJ$3:$AJ$98,"&lt;="&amp;Q$2)/2+SUMIFS('Alle ruter'!$AC$3:$AC$98,'Alle ruter'!$Z$3:$Z$98,"H2",'Alle ruter'!$J$3:$J$98,$A31,'Alle ruter'!$AJ$3:$AJ$98,"&lt;="&amp;Q$2)/2</f>
        <v>154.85366099726028</v>
      </c>
      <c r="R31" s="3">
        <f>SUMIFS('Alle ruter'!$AC$3:$AC$98,'Alle ruter'!$Z$3:$Z$98,"H2",'Alle ruter'!$I$3:$I$98,$A31,'Alle ruter'!$AJ$3:$AJ$98,"&lt;="&amp;R$2)/2+SUMIFS('Alle ruter'!$AC$3:$AC$98,'Alle ruter'!$Z$3:$Z$98,"H2",'Alle ruter'!$J$3:$J$98,$A31,'Alle ruter'!$AJ$3:$AJ$98,"&lt;="&amp;R$2)/2</f>
        <v>154.85366099726028</v>
      </c>
      <c r="S31" s="3">
        <f>SUMIFS('Alle ruter'!$AC$3:$AC$98,'Alle ruter'!$Z$3:$Z$98,"H2",'Alle ruter'!$I$3:$I$98,$A31,'Alle ruter'!$AJ$3:$AJ$98,"&lt;="&amp;S$2)/2+SUMIFS('Alle ruter'!$AC$3:$AC$98,'Alle ruter'!$Z$3:$Z$98,"H2",'Alle ruter'!$J$3:$J$98,$A31,'Alle ruter'!$AJ$3:$AJ$98,"&lt;="&amp;S$2)/2</f>
        <v>154.85366099726028</v>
      </c>
      <c r="T31" s="3"/>
    </row>
    <row r="32" spans="1:20" x14ac:dyDescent="0.3">
      <c r="A32" t="s">
        <v>120</v>
      </c>
      <c r="B32" t="s">
        <v>19</v>
      </c>
      <c r="C32" s="3">
        <f>COUNTIF('Alle ruter'!$I$3:$I$98,'H2 pr endeplass'!A33)+COUNTIFS('Alle ruter'!$J$3:$J$98,'H2 pr endeplass'!A33,'Alle ruter'!$K$3:$K$98,"Nei")</f>
        <v>3</v>
      </c>
      <c r="D32" s="3">
        <f>COUNTIFS('Alle ruter'!$I$3:$I$98,'H2 pr endeplass'!A33,'Alle ruter'!$Z$3:$Z$98,"H2")+COUNTIFS('Alle ruter'!$J$3:$J$98,'H2 pr endeplass'!A33,'Alle ruter'!$K$3:$K$98,"Nei",'Alle ruter'!$Z$3:$Z$98,"H2")</f>
        <v>2</v>
      </c>
      <c r="E32">
        <v>0</v>
      </c>
      <c r="F32" s="3">
        <f>SUMIFS('Alle ruter'!$AC$3:$AC$98,'Alle ruter'!$Z$3:$Z$98,"H2",'Alle ruter'!$I$3:$I$98,$A32,'Alle ruter'!$AJ$3:$AJ$98,"&lt;="&amp;F$2)/2+SUMIFS('Alle ruter'!$AC$3:$AC$98,'Alle ruter'!$Z$3:$Z$98,"H2",'Alle ruter'!$J$3:$J$98,$A32,'Alle ruter'!$AJ$3:$AJ$98,"&lt;="&amp;F$2)/2</f>
        <v>0</v>
      </c>
      <c r="G32" s="3">
        <f>SUMIFS('Alle ruter'!$AC$3:$AC$98,'Alle ruter'!$Z$3:$Z$98,"H2",'Alle ruter'!$I$3:$I$98,$A32,'Alle ruter'!$AJ$3:$AJ$98,"&lt;="&amp;G$2)/2+SUMIFS('Alle ruter'!$AC$3:$AC$98,'Alle ruter'!$Z$3:$Z$98,"H2",'Alle ruter'!$J$3:$J$98,$A32,'Alle ruter'!$AJ$3:$AJ$98,"&lt;="&amp;G$2)/2</f>
        <v>0</v>
      </c>
      <c r="H32" s="3">
        <f>SUMIFS('Alle ruter'!$AC$3:$AC$98,'Alle ruter'!$Z$3:$Z$98,"H2",'Alle ruter'!$I$3:$I$98,$A32,'Alle ruter'!$AJ$3:$AJ$98,"&lt;="&amp;H$2)/2+SUMIFS('Alle ruter'!$AC$3:$AC$98,'Alle ruter'!$Z$3:$Z$98,"H2",'Alle ruter'!$J$3:$J$98,$A32,'Alle ruter'!$AJ$3:$AJ$98,"&lt;="&amp;H$2)/2</f>
        <v>0</v>
      </c>
      <c r="I32" s="3">
        <f>SUMIFS('Alle ruter'!$AC$3:$AC$98,'Alle ruter'!$Z$3:$Z$98,"H2",'Alle ruter'!$I$3:$I$98,$A32,'Alle ruter'!$AJ$3:$AJ$98,"&lt;="&amp;I$2)/2+SUMIFS('Alle ruter'!$AC$3:$AC$98,'Alle ruter'!$Z$3:$Z$98,"H2",'Alle ruter'!$J$3:$J$98,$A32,'Alle ruter'!$AJ$3:$AJ$98,"&lt;="&amp;I$2)/2</f>
        <v>0</v>
      </c>
      <c r="J32" s="3">
        <f>SUMIFS('Alle ruter'!$AC$3:$AC$98,'Alle ruter'!$Z$3:$Z$98,"H2",'Alle ruter'!$I$3:$I$98,$A32,'Alle ruter'!$AJ$3:$AJ$98,"&lt;="&amp;J$2)/2+SUMIFS('Alle ruter'!$AC$3:$AC$98,'Alle ruter'!$Z$3:$Z$98,"H2",'Alle ruter'!$J$3:$J$98,$A32,'Alle ruter'!$AJ$3:$AJ$98,"&lt;="&amp;J$2)/2</f>
        <v>0</v>
      </c>
      <c r="K32" s="3">
        <f>SUMIFS('Alle ruter'!$AC$3:$AC$98,'Alle ruter'!$Z$3:$Z$98,"H2",'Alle ruter'!$I$3:$I$98,$A32,'Alle ruter'!$AJ$3:$AJ$98,"&lt;="&amp;K$2)/2+SUMIFS('Alle ruter'!$AC$3:$AC$98,'Alle ruter'!$Z$3:$Z$98,"H2",'Alle ruter'!$J$3:$J$98,$A32,'Alle ruter'!$AJ$3:$AJ$98,"&lt;="&amp;K$2)/2</f>
        <v>0</v>
      </c>
      <c r="L32" s="3">
        <f>SUMIFS('Alle ruter'!$AC$3:$AC$98,'Alle ruter'!$Z$3:$Z$98,"H2",'Alle ruter'!$I$3:$I$98,$A32,'Alle ruter'!$AJ$3:$AJ$98,"&lt;="&amp;L$2)/2+SUMIFS('Alle ruter'!$AC$3:$AC$98,'Alle ruter'!$Z$3:$Z$98,"H2",'Alle ruter'!$J$3:$J$98,$A32,'Alle ruter'!$AJ$3:$AJ$98,"&lt;="&amp;L$2)/2</f>
        <v>0</v>
      </c>
      <c r="M32" s="3">
        <f>SUMIFS('Alle ruter'!$AC$3:$AC$98,'Alle ruter'!$Z$3:$Z$98,"H2",'Alle ruter'!$I$3:$I$98,$A32,'Alle ruter'!$AJ$3:$AJ$98,"&lt;="&amp;M$2)/2+SUMIFS('Alle ruter'!$AC$3:$AC$98,'Alle ruter'!$Z$3:$Z$98,"H2",'Alle ruter'!$J$3:$J$98,$A32,'Alle ruter'!$AJ$3:$AJ$98,"&lt;="&amp;M$2)/2</f>
        <v>0</v>
      </c>
      <c r="N32" s="3">
        <f>SUMIFS('Alle ruter'!$AC$3:$AC$98,'Alle ruter'!$Z$3:$Z$98,"H2",'Alle ruter'!$I$3:$I$98,$A32,'Alle ruter'!$AJ$3:$AJ$98,"&lt;="&amp;N$2)/2+SUMIFS('Alle ruter'!$AC$3:$AC$98,'Alle ruter'!$Z$3:$Z$98,"H2",'Alle ruter'!$J$3:$J$98,$A32,'Alle ruter'!$AJ$3:$AJ$98,"&lt;="&amp;N$2)/2</f>
        <v>154.85366099726028</v>
      </c>
      <c r="O32" s="3">
        <f>SUMIFS('Alle ruter'!$AC$3:$AC$98,'Alle ruter'!$Z$3:$Z$98,"H2",'Alle ruter'!$I$3:$I$98,$A32,'Alle ruter'!$AJ$3:$AJ$98,"&lt;="&amp;O$2)/2+SUMIFS('Alle ruter'!$AC$3:$AC$98,'Alle ruter'!$Z$3:$Z$98,"H2",'Alle ruter'!$J$3:$J$98,$A32,'Alle ruter'!$AJ$3:$AJ$98,"&lt;="&amp;O$2)/2</f>
        <v>154.85366099726028</v>
      </c>
      <c r="P32" s="3">
        <f>SUMIFS('Alle ruter'!$AC$3:$AC$98,'Alle ruter'!$Z$3:$Z$98,"H2",'Alle ruter'!$I$3:$I$98,$A32,'Alle ruter'!$AJ$3:$AJ$98,"&lt;="&amp;P$2)/2+SUMIFS('Alle ruter'!$AC$3:$AC$98,'Alle ruter'!$Z$3:$Z$98,"H2",'Alle ruter'!$J$3:$J$98,$A32,'Alle ruter'!$AJ$3:$AJ$98,"&lt;="&amp;P$2)/2</f>
        <v>154.85366099726028</v>
      </c>
      <c r="Q32" s="3">
        <f>SUMIFS('Alle ruter'!$AC$3:$AC$98,'Alle ruter'!$Z$3:$Z$98,"H2",'Alle ruter'!$I$3:$I$98,$A32,'Alle ruter'!$AJ$3:$AJ$98,"&lt;="&amp;Q$2)/2+SUMIFS('Alle ruter'!$AC$3:$AC$98,'Alle ruter'!$Z$3:$Z$98,"H2",'Alle ruter'!$J$3:$J$98,$A32,'Alle ruter'!$AJ$3:$AJ$98,"&lt;="&amp;Q$2)/2</f>
        <v>154.85366099726028</v>
      </c>
      <c r="R32" s="3">
        <f>SUMIFS('Alle ruter'!$AC$3:$AC$98,'Alle ruter'!$Z$3:$Z$98,"H2",'Alle ruter'!$I$3:$I$98,$A32,'Alle ruter'!$AJ$3:$AJ$98,"&lt;="&amp;R$2)/2+SUMIFS('Alle ruter'!$AC$3:$AC$98,'Alle ruter'!$Z$3:$Z$98,"H2",'Alle ruter'!$J$3:$J$98,$A32,'Alle ruter'!$AJ$3:$AJ$98,"&lt;="&amp;R$2)/2</f>
        <v>154.85366099726028</v>
      </c>
      <c r="S32" s="3">
        <f>SUMIFS('Alle ruter'!$AC$3:$AC$98,'Alle ruter'!$Z$3:$Z$98,"H2",'Alle ruter'!$I$3:$I$98,$A32,'Alle ruter'!$AJ$3:$AJ$98,"&lt;="&amp;S$2)/2+SUMIFS('Alle ruter'!$AC$3:$AC$98,'Alle ruter'!$Z$3:$Z$98,"H2",'Alle ruter'!$J$3:$J$98,$A32,'Alle ruter'!$AJ$3:$AJ$98,"&lt;="&amp;S$2)/2</f>
        <v>154.85366099726028</v>
      </c>
      <c r="T32" s="3"/>
    </row>
    <row r="33" spans="1:20" x14ac:dyDescent="0.3">
      <c r="A33" t="s">
        <v>115</v>
      </c>
      <c r="B33" t="s">
        <v>389</v>
      </c>
      <c r="C33" s="3">
        <f>COUNTIF('Alle ruter'!$I$3:$I$98,'H2 pr endeplass'!A28)+COUNTIFS('Alle ruter'!$J$3:$J$98,'H2 pr endeplass'!A28,'Alle ruter'!$K$3:$K$98,"Nei")</f>
        <v>1</v>
      </c>
      <c r="D33" s="3">
        <f>COUNTIFS('Alle ruter'!$I$3:$I$98,'H2 pr endeplass'!A28,'Alle ruter'!$Z$3:$Z$98,"H2")+COUNTIFS('Alle ruter'!$J$3:$J$98,'H2 pr endeplass'!A28,'Alle ruter'!$K$3:$K$98,"Nei",'Alle ruter'!$Z$3:$Z$98,"H2")</f>
        <v>1</v>
      </c>
      <c r="E33">
        <v>0</v>
      </c>
      <c r="F33" s="3">
        <f>SUMIFS('Alle ruter'!$AC$3:$AC$98,'Alle ruter'!$Z$3:$Z$98,"H2",'Alle ruter'!$I$3:$I$98,$A33,'Alle ruter'!$AJ$3:$AJ$98,"&lt;="&amp;F$2)/2+SUMIFS('Alle ruter'!$AC$3:$AC$98,'Alle ruter'!$Z$3:$Z$98,"H2",'Alle ruter'!$J$3:$J$98,$A33,'Alle ruter'!$AJ$3:$AJ$98,"&lt;="&amp;F$2)/2</f>
        <v>0</v>
      </c>
      <c r="G33" s="3">
        <f>SUMIFS('Alle ruter'!$AC$3:$AC$98,'Alle ruter'!$Z$3:$Z$98,"H2",'Alle ruter'!$I$3:$I$98,$A33,'Alle ruter'!$AJ$3:$AJ$98,"&lt;="&amp;G$2)/2+SUMIFS('Alle ruter'!$AC$3:$AC$98,'Alle ruter'!$Z$3:$Z$98,"H2",'Alle ruter'!$J$3:$J$98,$A33,'Alle ruter'!$AJ$3:$AJ$98,"&lt;="&amp;G$2)/2</f>
        <v>0</v>
      </c>
      <c r="H33" s="3">
        <f>SUMIFS('Alle ruter'!$AC$3:$AC$98,'Alle ruter'!$Z$3:$Z$98,"H2",'Alle ruter'!$I$3:$I$98,$A33,'Alle ruter'!$AJ$3:$AJ$98,"&lt;="&amp;H$2)/2+SUMIFS('Alle ruter'!$AC$3:$AC$98,'Alle ruter'!$Z$3:$Z$98,"H2",'Alle ruter'!$J$3:$J$98,$A33,'Alle ruter'!$AJ$3:$AJ$98,"&lt;="&amp;H$2)/2</f>
        <v>0</v>
      </c>
      <c r="I33" s="3">
        <f>SUMIFS('Alle ruter'!$AC$3:$AC$98,'Alle ruter'!$Z$3:$Z$98,"H2",'Alle ruter'!$I$3:$I$98,$A33,'Alle ruter'!$AJ$3:$AJ$98,"&lt;="&amp;I$2)/2+SUMIFS('Alle ruter'!$AC$3:$AC$98,'Alle ruter'!$Z$3:$Z$98,"H2",'Alle ruter'!$J$3:$J$98,$A33,'Alle ruter'!$AJ$3:$AJ$98,"&lt;="&amp;I$2)/2</f>
        <v>0</v>
      </c>
      <c r="J33" s="3">
        <f>SUMIFS('Alle ruter'!$AC$3:$AC$98,'Alle ruter'!$Z$3:$Z$98,"H2",'Alle ruter'!$I$3:$I$98,$A33,'Alle ruter'!$AJ$3:$AJ$98,"&lt;="&amp;J$2)/2+SUMIFS('Alle ruter'!$AC$3:$AC$98,'Alle ruter'!$Z$3:$Z$98,"H2",'Alle ruter'!$J$3:$J$98,$A33,'Alle ruter'!$AJ$3:$AJ$98,"&lt;="&amp;J$2)/2</f>
        <v>0</v>
      </c>
      <c r="K33" s="3">
        <f>SUMIFS('Alle ruter'!$AC$3:$AC$98,'Alle ruter'!$Z$3:$Z$98,"H2",'Alle ruter'!$I$3:$I$98,$A33,'Alle ruter'!$AJ$3:$AJ$98,"&lt;="&amp;K$2)/2+SUMIFS('Alle ruter'!$AC$3:$AC$98,'Alle ruter'!$Z$3:$Z$98,"H2",'Alle ruter'!$J$3:$J$98,$A33,'Alle ruter'!$AJ$3:$AJ$98,"&lt;="&amp;K$2)/2</f>
        <v>0</v>
      </c>
      <c r="L33" s="3">
        <f>SUMIFS('Alle ruter'!$AC$3:$AC$98,'Alle ruter'!$Z$3:$Z$98,"H2",'Alle ruter'!$I$3:$I$98,$A33,'Alle ruter'!$AJ$3:$AJ$98,"&lt;="&amp;L$2)/2+SUMIFS('Alle ruter'!$AC$3:$AC$98,'Alle ruter'!$Z$3:$Z$98,"H2",'Alle ruter'!$J$3:$J$98,$A33,'Alle ruter'!$AJ$3:$AJ$98,"&lt;="&amp;L$2)/2</f>
        <v>0</v>
      </c>
      <c r="M33" s="3">
        <f>SUMIFS('Alle ruter'!$AC$3:$AC$98,'Alle ruter'!$Z$3:$Z$98,"H2",'Alle ruter'!$I$3:$I$98,$A33,'Alle ruter'!$AJ$3:$AJ$98,"&lt;="&amp;M$2)/2+SUMIFS('Alle ruter'!$AC$3:$AC$98,'Alle ruter'!$Z$3:$Z$98,"H2",'Alle ruter'!$J$3:$J$98,$A33,'Alle ruter'!$AJ$3:$AJ$98,"&lt;="&amp;M$2)/2</f>
        <v>0</v>
      </c>
      <c r="N33" s="3">
        <f>SUMIFS('Alle ruter'!$AC$3:$AC$98,'Alle ruter'!$Z$3:$Z$98,"H2",'Alle ruter'!$I$3:$I$98,$A33,'Alle ruter'!$AJ$3:$AJ$98,"&lt;="&amp;N$2)/2+SUMIFS('Alle ruter'!$AC$3:$AC$98,'Alle ruter'!$Z$3:$Z$98,"H2",'Alle ruter'!$J$3:$J$98,$A33,'Alle ruter'!$AJ$3:$AJ$98,"&lt;="&amp;N$2)/2</f>
        <v>150.18135226027397</v>
      </c>
      <c r="O33" s="3">
        <f>SUMIFS('Alle ruter'!$AC$3:$AC$98,'Alle ruter'!$Z$3:$Z$98,"H2",'Alle ruter'!$I$3:$I$98,$A33,'Alle ruter'!$AJ$3:$AJ$98,"&lt;="&amp;O$2)/2+SUMIFS('Alle ruter'!$AC$3:$AC$98,'Alle ruter'!$Z$3:$Z$98,"H2",'Alle ruter'!$J$3:$J$98,$A33,'Alle ruter'!$AJ$3:$AJ$98,"&lt;="&amp;O$2)/2</f>
        <v>150.18135226027397</v>
      </c>
      <c r="P33" s="3">
        <f>SUMIFS('Alle ruter'!$AC$3:$AC$98,'Alle ruter'!$Z$3:$Z$98,"H2",'Alle ruter'!$I$3:$I$98,$A33,'Alle ruter'!$AJ$3:$AJ$98,"&lt;="&amp;P$2)/2+SUMIFS('Alle ruter'!$AC$3:$AC$98,'Alle ruter'!$Z$3:$Z$98,"H2",'Alle ruter'!$J$3:$J$98,$A33,'Alle ruter'!$AJ$3:$AJ$98,"&lt;="&amp;P$2)/2</f>
        <v>150.18135226027397</v>
      </c>
      <c r="Q33" s="3">
        <f>SUMIFS('Alle ruter'!$AC$3:$AC$98,'Alle ruter'!$Z$3:$Z$98,"H2",'Alle ruter'!$I$3:$I$98,$A33,'Alle ruter'!$AJ$3:$AJ$98,"&lt;="&amp;Q$2)/2+SUMIFS('Alle ruter'!$AC$3:$AC$98,'Alle ruter'!$Z$3:$Z$98,"H2",'Alle ruter'!$J$3:$J$98,$A33,'Alle ruter'!$AJ$3:$AJ$98,"&lt;="&amp;Q$2)/2</f>
        <v>150.18135226027397</v>
      </c>
      <c r="R33" s="3">
        <f>SUMIFS('Alle ruter'!$AC$3:$AC$98,'Alle ruter'!$Z$3:$Z$98,"H2",'Alle ruter'!$I$3:$I$98,$A33,'Alle ruter'!$AJ$3:$AJ$98,"&lt;="&amp;R$2)/2+SUMIFS('Alle ruter'!$AC$3:$AC$98,'Alle ruter'!$Z$3:$Z$98,"H2",'Alle ruter'!$J$3:$J$98,$A33,'Alle ruter'!$AJ$3:$AJ$98,"&lt;="&amp;R$2)/2</f>
        <v>150.18135226027397</v>
      </c>
      <c r="S33" s="3">
        <f>SUMIFS('Alle ruter'!$AC$3:$AC$98,'Alle ruter'!$Z$3:$Z$98,"H2",'Alle ruter'!$I$3:$I$98,$A33,'Alle ruter'!$AJ$3:$AJ$98,"&lt;="&amp;S$2)/2+SUMIFS('Alle ruter'!$AC$3:$AC$98,'Alle ruter'!$Z$3:$Z$98,"H2",'Alle ruter'!$J$3:$J$98,$A33,'Alle ruter'!$AJ$3:$AJ$98,"&lt;="&amp;S$2)/2</f>
        <v>912.79109483363789</v>
      </c>
      <c r="T33" s="3"/>
    </row>
    <row r="34" spans="1:20" x14ac:dyDescent="0.3">
      <c r="A34" t="s">
        <v>132</v>
      </c>
      <c r="B34" t="s">
        <v>389</v>
      </c>
      <c r="C34" s="3">
        <f>COUNTIF('Alle ruter'!$I$3:$I$98,'H2 pr endeplass'!A34)+COUNTIFS('Alle ruter'!$J$3:$J$98,'H2 pr endeplass'!A34,'Alle ruter'!$K$3:$K$98,"Nei")</f>
        <v>1</v>
      </c>
      <c r="D34" s="3">
        <f>COUNTIFS('Alle ruter'!$I$3:$I$98,'H2 pr endeplass'!A34,'Alle ruter'!$Z$3:$Z$98,"H2")+COUNTIFS('Alle ruter'!$J$3:$J$98,'H2 pr endeplass'!A34,'Alle ruter'!$K$3:$K$98,"Nei",'Alle ruter'!$Z$3:$Z$98,"H2")</f>
        <v>1</v>
      </c>
      <c r="E34">
        <v>0</v>
      </c>
      <c r="F34" s="3">
        <f>SUMIFS('Alle ruter'!$AC$3:$AC$98,'Alle ruter'!$Z$3:$Z$98,"H2",'Alle ruter'!$I$3:$I$98,$A34,'Alle ruter'!$AJ$3:$AJ$98,"&lt;="&amp;F$2)/2+SUMIFS('Alle ruter'!$AC$3:$AC$98,'Alle ruter'!$Z$3:$Z$98,"H2",'Alle ruter'!$J$3:$J$98,$A34,'Alle ruter'!$AJ$3:$AJ$98,"&lt;="&amp;F$2)/2</f>
        <v>0</v>
      </c>
      <c r="G34" s="3">
        <f>SUMIFS('Alle ruter'!$AC$3:$AC$98,'Alle ruter'!$Z$3:$Z$98,"H2",'Alle ruter'!$I$3:$I$98,$A34,'Alle ruter'!$AJ$3:$AJ$98,"&lt;="&amp;G$2)/2+SUMIFS('Alle ruter'!$AC$3:$AC$98,'Alle ruter'!$Z$3:$Z$98,"H2",'Alle ruter'!$J$3:$J$98,$A34,'Alle ruter'!$AJ$3:$AJ$98,"&lt;="&amp;G$2)/2</f>
        <v>0</v>
      </c>
      <c r="H34" s="3">
        <f>SUMIFS('Alle ruter'!$AC$3:$AC$98,'Alle ruter'!$Z$3:$Z$98,"H2",'Alle ruter'!$I$3:$I$98,$A34,'Alle ruter'!$AJ$3:$AJ$98,"&lt;="&amp;H$2)/2+SUMIFS('Alle ruter'!$AC$3:$AC$98,'Alle ruter'!$Z$3:$Z$98,"H2",'Alle ruter'!$J$3:$J$98,$A34,'Alle ruter'!$AJ$3:$AJ$98,"&lt;="&amp;H$2)/2</f>
        <v>0</v>
      </c>
      <c r="I34" s="3">
        <f>SUMIFS('Alle ruter'!$AC$3:$AC$98,'Alle ruter'!$Z$3:$Z$98,"H2",'Alle ruter'!$I$3:$I$98,$A34,'Alle ruter'!$AJ$3:$AJ$98,"&lt;="&amp;I$2)/2+SUMIFS('Alle ruter'!$AC$3:$AC$98,'Alle ruter'!$Z$3:$Z$98,"H2",'Alle ruter'!$J$3:$J$98,$A34,'Alle ruter'!$AJ$3:$AJ$98,"&lt;="&amp;I$2)/2</f>
        <v>0</v>
      </c>
      <c r="J34" s="3">
        <f>SUMIFS('Alle ruter'!$AC$3:$AC$98,'Alle ruter'!$Z$3:$Z$98,"H2",'Alle ruter'!$I$3:$I$98,$A34,'Alle ruter'!$AJ$3:$AJ$98,"&lt;="&amp;J$2)/2+SUMIFS('Alle ruter'!$AC$3:$AC$98,'Alle ruter'!$Z$3:$Z$98,"H2",'Alle ruter'!$J$3:$J$98,$A34,'Alle ruter'!$AJ$3:$AJ$98,"&lt;="&amp;J$2)/2</f>
        <v>0</v>
      </c>
      <c r="K34" s="3">
        <f>SUMIFS('Alle ruter'!$AC$3:$AC$98,'Alle ruter'!$Z$3:$Z$98,"H2",'Alle ruter'!$I$3:$I$98,$A34,'Alle ruter'!$AJ$3:$AJ$98,"&lt;="&amp;K$2)/2+SUMIFS('Alle ruter'!$AC$3:$AC$98,'Alle ruter'!$Z$3:$Z$98,"H2",'Alle ruter'!$J$3:$J$98,$A34,'Alle ruter'!$AJ$3:$AJ$98,"&lt;="&amp;K$2)/2</f>
        <v>0</v>
      </c>
      <c r="L34" s="3">
        <f>SUMIFS('Alle ruter'!$AC$3:$AC$98,'Alle ruter'!$Z$3:$Z$98,"H2",'Alle ruter'!$I$3:$I$98,$A34,'Alle ruter'!$AJ$3:$AJ$98,"&lt;="&amp;L$2)/2+SUMIFS('Alle ruter'!$AC$3:$AC$98,'Alle ruter'!$Z$3:$Z$98,"H2",'Alle ruter'!$J$3:$J$98,$A34,'Alle ruter'!$AJ$3:$AJ$98,"&lt;="&amp;L$2)/2</f>
        <v>0</v>
      </c>
      <c r="M34" s="3">
        <f>SUMIFS('Alle ruter'!$AC$3:$AC$98,'Alle ruter'!$Z$3:$Z$98,"H2",'Alle ruter'!$I$3:$I$98,$A34,'Alle ruter'!$AJ$3:$AJ$98,"&lt;="&amp;M$2)/2+SUMIFS('Alle ruter'!$AC$3:$AC$98,'Alle ruter'!$Z$3:$Z$98,"H2",'Alle ruter'!$J$3:$J$98,$A34,'Alle ruter'!$AJ$3:$AJ$98,"&lt;="&amp;M$2)/2</f>
        <v>138.83431675616441</v>
      </c>
      <c r="N34" s="3">
        <f>SUMIFS('Alle ruter'!$AC$3:$AC$98,'Alle ruter'!$Z$3:$Z$98,"H2",'Alle ruter'!$I$3:$I$98,$A34,'Alle ruter'!$AJ$3:$AJ$98,"&lt;="&amp;N$2)/2+SUMIFS('Alle ruter'!$AC$3:$AC$98,'Alle ruter'!$Z$3:$Z$98,"H2",'Alle ruter'!$J$3:$J$98,$A34,'Alle ruter'!$AJ$3:$AJ$98,"&lt;="&amp;N$2)/2</f>
        <v>138.83431675616441</v>
      </c>
      <c r="O34" s="3">
        <f>SUMIFS('Alle ruter'!$AC$3:$AC$98,'Alle ruter'!$Z$3:$Z$98,"H2",'Alle ruter'!$I$3:$I$98,$A34,'Alle ruter'!$AJ$3:$AJ$98,"&lt;="&amp;O$2)/2+SUMIFS('Alle ruter'!$AC$3:$AC$98,'Alle ruter'!$Z$3:$Z$98,"H2",'Alle ruter'!$J$3:$J$98,$A34,'Alle ruter'!$AJ$3:$AJ$98,"&lt;="&amp;O$2)/2</f>
        <v>138.83431675616441</v>
      </c>
      <c r="P34" s="3">
        <f>SUMIFS('Alle ruter'!$AC$3:$AC$98,'Alle ruter'!$Z$3:$Z$98,"H2",'Alle ruter'!$I$3:$I$98,$A34,'Alle ruter'!$AJ$3:$AJ$98,"&lt;="&amp;P$2)/2+SUMIFS('Alle ruter'!$AC$3:$AC$98,'Alle ruter'!$Z$3:$Z$98,"H2",'Alle ruter'!$J$3:$J$98,$A34,'Alle ruter'!$AJ$3:$AJ$98,"&lt;="&amp;P$2)/2</f>
        <v>138.83431675616441</v>
      </c>
      <c r="Q34" s="3">
        <f>SUMIFS('Alle ruter'!$AC$3:$AC$98,'Alle ruter'!$Z$3:$Z$98,"H2",'Alle ruter'!$I$3:$I$98,$A34,'Alle ruter'!$AJ$3:$AJ$98,"&lt;="&amp;Q$2)/2+SUMIFS('Alle ruter'!$AC$3:$AC$98,'Alle ruter'!$Z$3:$Z$98,"H2",'Alle ruter'!$J$3:$J$98,$A34,'Alle ruter'!$AJ$3:$AJ$98,"&lt;="&amp;Q$2)/2</f>
        <v>138.83431675616441</v>
      </c>
      <c r="R34" s="3">
        <f>SUMIFS('Alle ruter'!$AC$3:$AC$98,'Alle ruter'!$Z$3:$Z$98,"H2",'Alle ruter'!$I$3:$I$98,$A34,'Alle ruter'!$AJ$3:$AJ$98,"&lt;="&amp;R$2)/2+SUMIFS('Alle ruter'!$AC$3:$AC$98,'Alle ruter'!$Z$3:$Z$98,"H2",'Alle ruter'!$J$3:$J$98,$A34,'Alle ruter'!$AJ$3:$AJ$98,"&lt;="&amp;R$2)/2</f>
        <v>138.83431675616441</v>
      </c>
      <c r="S34" s="3">
        <f>SUMIFS('Alle ruter'!$AC$3:$AC$98,'Alle ruter'!$Z$3:$Z$98,"H2",'Alle ruter'!$I$3:$I$98,$A34,'Alle ruter'!$AJ$3:$AJ$98,"&lt;="&amp;S$2)/2+SUMIFS('Alle ruter'!$AC$3:$AC$98,'Alle ruter'!$Z$3:$Z$98,"H2",'Alle ruter'!$J$3:$J$98,$A34,'Alle ruter'!$AJ$3:$AJ$98,"&lt;="&amp;S$2)/2</f>
        <v>138.83431675616441</v>
      </c>
      <c r="T34" s="3"/>
    </row>
    <row r="35" spans="1:20" x14ac:dyDescent="0.3">
      <c r="A35" t="s">
        <v>156</v>
      </c>
      <c r="B35" t="s">
        <v>15</v>
      </c>
      <c r="C35" s="3">
        <f>COUNTIF('Alle ruter'!$I$3:$I$98,'H2 pr endeplass'!A35)+COUNTIFS('Alle ruter'!$J$3:$J$98,'H2 pr endeplass'!A35,'Alle ruter'!$K$3:$K$98,"Nei")</f>
        <v>1</v>
      </c>
      <c r="D35" s="3">
        <f>COUNTIFS('Alle ruter'!$I$3:$I$98,'H2 pr endeplass'!A35,'Alle ruter'!$Z$3:$Z$98,"H2")+COUNTIFS('Alle ruter'!$J$3:$J$98,'H2 pr endeplass'!A35,'Alle ruter'!$K$3:$K$98,"Nei",'Alle ruter'!$Z$3:$Z$98,"H2")</f>
        <v>1</v>
      </c>
      <c r="E35">
        <v>0</v>
      </c>
      <c r="F35" s="3">
        <f>SUMIFS('Alle ruter'!$AC$3:$AC$98,'Alle ruter'!$Z$3:$Z$98,"H2",'Alle ruter'!$I$3:$I$98,$A35,'Alle ruter'!$AJ$3:$AJ$98,"&lt;="&amp;F$2)/2+SUMIFS('Alle ruter'!$AC$3:$AC$98,'Alle ruter'!$Z$3:$Z$98,"H2",'Alle ruter'!$J$3:$J$98,$A35,'Alle ruter'!$AJ$3:$AJ$98,"&lt;="&amp;F$2)/2</f>
        <v>125.31194694916287</v>
      </c>
      <c r="G35" s="3">
        <f>SUMIFS('Alle ruter'!$AC$3:$AC$98,'Alle ruter'!$Z$3:$Z$98,"H2",'Alle ruter'!$I$3:$I$98,$A35,'Alle ruter'!$AJ$3:$AJ$98,"&lt;="&amp;G$2)/2+SUMIFS('Alle ruter'!$AC$3:$AC$98,'Alle ruter'!$Z$3:$Z$98,"H2",'Alle ruter'!$J$3:$J$98,$A35,'Alle ruter'!$AJ$3:$AJ$98,"&lt;="&amp;G$2)/2</f>
        <v>125.31194694916287</v>
      </c>
      <c r="H35" s="3">
        <f>SUMIFS('Alle ruter'!$AC$3:$AC$98,'Alle ruter'!$Z$3:$Z$98,"H2",'Alle ruter'!$I$3:$I$98,$A35,'Alle ruter'!$AJ$3:$AJ$98,"&lt;="&amp;H$2)/2+SUMIFS('Alle ruter'!$AC$3:$AC$98,'Alle ruter'!$Z$3:$Z$98,"H2",'Alle ruter'!$J$3:$J$98,$A35,'Alle ruter'!$AJ$3:$AJ$98,"&lt;="&amp;H$2)/2</f>
        <v>125.31194694916287</v>
      </c>
      <c r="I35" s="3">
        <f>SUMIFS('Alle ruter'!$AC$3:$AC$98,'Alle ruter'!$Z$3:$Z$98,"H2",'Alle ruter'!$I$3:$I$98,$A35,'Alle ruter'!$AJ$3:$AJ$98,"&lt;="&amp;I$2)/2+SUMIFS('Alle ruter'!$AC$3:$AC$98,'Alle ruter'!$Z$3:$Z$98,"H2",'Alle ruter'!$J$3:$J$98,$A35,'Alle ruter'!$AJ$3:$AJ$98,"&lt;="&amp;I$2)/2</f>
        <v>125.31194694916287</v>
      </c>
      <c r="J35" s="3">
        <f>SUMIFS('Alle ruter'!$AC$3:$AC$98,'Alle ruter'!$Z$3:$Z$98,"H2",'Alle ruter'!$I$3:$I$98,$A35,'Alle ruter'!$AJ$3:$AJ$98,"&lt;="&amp;J$2)/2+SUMIFS('Alle ruter'!$AC$3:$AC$98,'Alle ruter'!$Z$3:$Z$98,"H2",'Alle ruter'!$J$3:$J$98,$A35,'Alle ruter'!$AJ$3:$AJ$98,"&lt;="&amp;J$2)/2</f>
        <v>125.31194694916287</v>
      </c>
      <c r="K35" s="3">
        <f>SUMIFS('Alle ruter'!$AC$3:$AC$98,'Alle ruter'!$Z$3:$Z$98,"H2",'Alle ruter'!$I$3:$I$98,$A35,'Alle ruter'!$AJ$3:$AJ$98,"&lt;="&amp;K$2)/2+SUMIFS('Alle ruter'!$AC$3:$AC$98,'Alle ruter'!$Z$3:$Z$98,"H2",'Alle ruter'!$J$3:$J$98,$A35,'Alle ruter'!$AJ$3:$AJ$98,"&lt;="&amp;K$2)/2</f>
        <v>125.31194694916287</v>
      </c>
      <c r="L35" s="3">
        <f>SUMIFS('Alle ruter'!$AC$3:$AC$98,'Alle ruter'!$Z$3:$Z$98,"H2",'Alle ruter'!$I$3:$I$98,$A35,'Alle ruter'!$AJ$3:$AJ$98,"&lt;="&amp;L$2)/2+SUMIFS('Alle ruter'!$AC$3:$AC$98,'Alle ruter'!$Z$3:$Z$98,"H2",'Alle ruter'!$J$3:$J$98,$A35,'Alle ruter'!$AJ$3:$AJ$98,"&lt;="&amp;L$2)/2</f>
        <v>125.31194694916287</v>
      </c>
      <c r="M35" s="3">
        <f>SUMIFS('Alle ruter'!$AC$3:$AC$98,'Alle ruter'!$Z$3:$Z$98,"H2",'Alle ruter'!$I$3:$I$98,$A35,'Alle ruter'!$AJ$3:$AJ$98,"&lt;="&amp;M$2)/2+SUMIFS('Alle ruter'!$AC$3:$AC$98,'Alle ruter'!$Z$3:$Z$98,"H2",'Alle ruter'!$J$3:$J$98,$A35,'Alle ruter'!$AJ$3:$AJ$98,"&lt;="&amp;M$2)/2</f>
        <v>125.31194694916287</v>
      </c>
      <c r="N35" s="3">
        <f>SUMIFS('Alle ruter'!$AC$3:$AC$98,'Alle ruter'!$Z$3:$Z$98,"H2",'Alle ruter'!$I$3:$I$98,$A35,'Alle ruter'!$AJ$3:$AJ$98,"&lt;="&amp;N$2)/2+SUMIFS('Alle ruter'!$AC$3:$AC$98,'Alle ruter'!$Z$3:$Z$98,"H2",'Alle ruter'!$J$3:$J$98,$A35,'Alle ruter'!$AJ$3:$AJ$98,"&lt;="&amp;N$2)/2</f>
        <v>125.31194694916287</v>
      </c>
      <c r="O35" s="3">
        <f>SUMIFS('Alle ruter'!$AC$3:$AC$98,'Alle ruter'!$Z$3:$Z$98,"H2",'Alle ruter'!$I$3:$I$98,$A35,'Alle ruter'!$AJ$3:$AJ$98,"&lt;="&amp;O$2)/2+SUMIFS('Alle ruter'!$AC$3:$AC$98,'Alle ruter'!$Z$3:$Z$98,"H2",'Alle ruter'!$J$3:$J$98,$A35,'Alle ruter'!$AJ$3:$AJ$98,"&lt;="&amp;O$2)/2</f>
        <v>125.31194694916287</v>
      </c>
      <c r="P35" s="3">
        <f>SUMIFS('Alle ruter'!$AC$3:$AC$98,'Alle ruter'!$Z$3:$Z$98,"H2",'Alle ruter'!$I$3:$I$98,$A35,'Alle ruter'!$AJ$3:$AJ$98,"&lt;="&amp;P$2)/2+SUMIFS('Alle ruter'!$AC$3:$AC$98,'Alle ruter'!$Z$3:$Z$98,"H2",'Alle ruter'!$J$3:$J$98,$A35,'Alle ruter'!$AJ$3:$AJ$98,"&lt;="&amp;P$2)/2</f>
        <v>125.31194694916287</v>
      </c>
      <c r="Q35" s="3">
        <f>SUMIFS('Alle ruter'!$AC$3:$AC$98,'Alle ruter'!$Z$3:$Z$98,"H2",'Alle ruter'!$I$3:$I$98,$A35,'Alle ruter'!$AJ$3:$AJ$98,"&lt;="&amp;Q$2)/2+SUMIFS('Alle ruter'!$AC$3:$AC$98,'Alle ruter'!$Z$3:$Z$98,"H2",'Alle ruter'!$J$3:$J$98,$A35,'Alle ruter'!$AJ$3:$AJ$98,"&lt;="&amp;Q$2)/2</f>
        <v>125.31194694916287</v>
      </c>
      <c r="R35" s="3">
        <f>SUMIFS('Alle ruter'!$AC$3:$AC$98,'Alle ruter'!$Z$3:$Z$98,"H2",'Alle ruter'!$I$3:$I$98,$A35,'Alle ruter'!$AJ$3:$AJ$98,"&lt;="&amp;R$2)/2+SUMIFS('Alle ruter'!$AC$3:$AC$98,'Alle ruter'!$Z$3:$Z$98,"H2",'Alle ruter'!$J$3:$J$98,$A35,'Alle ruter'!$AJ$3:$AJ$98,"&lt;="&amp;R$2)/2</f>
        <v>125.31194694916287</v>
      </c>
      <c r="S35" s="3">
        <f>SUMIFS('Alle ruter'!$AC$3:$AC$98,'Alle ruter'!$Z$3:$Z$98,"H2",'Alle ruter'!$I$3:$I$98,$A35,'Alle ruter'!$AJ$3:$AJ$98,"&lt;="&amp;S$2)/2+SUMIFS('Alle ruter'!$AC$3:$AC$98,'Alle ruter'!$Z$3:$Z$98,"H2",'Alle ruter'!$J$3:$J$98,$A35,'Alle ruter'!$AJ$3:$AJ$98,"&lt;="&amp;S$2)/2</f>
        <v>125.31194694916287</v>
      </c>
      <c r="T35" s="3"/>
    </row>
    <row r="36" spans="1:20" x14ac:dyDescent="0.3">
      <c r="A36" t="s">
        <v>151</v>
      </c>
      <c r="B36" t="s">
        <v>388</v>
      </c>
      <c r="C36" s="3">
        <f>COUNTIF('Alle ruter'!$I$3:$I$98,'H2 pr endeplass'!A36)+COUNTIFS('Alle ruter'!$J$3:$J$98,'H2 pr endeplass'!A36,'Alle ruter'!$K$3:$K$98,"Nei")</f>
        <v>3</v>
      </c>
      <c r="D36" s="3">
        <f>COUNTIFS('Alle ruter'!$I$3:$I$98,'H2 pr endeplass'!A36,'Alle ruter'!$Z$3:$Z$98,"H2")+COUNTIFS('Alle ruter'!$J$3:$J$98,'H2 pr endeplass'!A36,'Alle ruter'!$K$3:$K$98,"Nei",'Alle ruter'!$Z$3:$Z$98,"H2")</f>
        <v>2</v>
      </c>
      <c r="E36">
        <v>0</v>
      </c>
      <c r="F36" s="3">
        <f>SUMIFS('Alle ruter'!$AC$3:$AC$98,'Alle ruter'!$Z$3:$Z$98,"H2",'Alle ruter'!$I$3:$I$98,$A36,'Alle ruter'!$AJ$3:$AJ$98,"&lt;="&amp;F$2)/2+SUMIFS('Alle ruter'!$AC$3:$AC$98,'Alle ruter'!$Z$3:$Z$98,"H2",'Alle ruter'!$J$3:$J$98,$A36,'Alle ruter'!$AJ$3:$AJ$98,"&lt;="&amp;F$2)/2</f>
        <v>0</v>
      </c>
      <c r="G36" s="3">
        <f>SUMIFS('Alle ruter'!$AC$3:$AC$98,'Alle ruter'!$Z$3:$Z$98,"H2",'Alle ruter'!$I$3:$I$98,$A36,'Alle ruter'!$AJ$3:$AJ$98,"&lt;="&amp;G$2)/2+SUMIFS('Alle ruter'!$AC$3:$AC$98,'Alle ruter'!$Z$3:$Z$98,"H2",'Alle ruter'!$J$3:$J$98,$A36,'Alle ruter'!$AJ$3:$AJ$98,"&lt;="&amp;G$2)/2</f>
        <v>0</v>
      </c>
      <c r="H36" s="3">
        <f>SUMIFS('Alle ruter'!$AC$3:$AC$98,'Alle ruter'!$Z$3:$Z$98,"H2",'Alle ruter'!$I$3:$I$98,$A36,'Alle ruter'!$AJ$3:$AJ$98,"&lt;="&amp;H$2)/2+SUMIFS('Alle ruter'!$AC$3:$AC$98,'Alle ruter'!$Z$3:$Z$98,"H2",'Alle ruter'!$J$3:$J$98,$A36,'Alle ruter'!$AJ$3:$AJ$98,"&lt;="&amp;H$2)/2</f>
        <v>91.15820690136988</v>
      </c>
      <c r="I36" s="3">
        <f>SUMIFS('Alle ruter'!$AC$3:$AC$98,'Alle ruter'!$Z$3:$Z$98,"H2",'Alle ruter'!$I$3:$I$98,$A36,'Alle ruter'!$AJ$3:$AJ$98,"&lt;="&amp;I$2)/2+SUMIFS('Alle ruter'!$AC$3:$AC$98,'Alle ruter'!$Z$3:$Z$98,"H2",'Alle ruter'!$J$3:$J$98,$A36,'Alle ruter'!$AJ$3:$AJ$98,"&lt;="&amp;I$2)/2</f>
        <v>91.15820690136988</v>
      </c>
      <c r="J36" s="3">
        <f>SUMIFS('Alle ruter'!$AC$3:$AC$98,'Alle ruter'!$Z$3:$Z$98,"H2",'Alle ruter'!$I$3:$I$98,$A36,'Alle ruter'!$AJ$3:$AJ$98,"&lt;="&amp;J$2)/2+SUMIFS('Alle ruter'!$AC$3:$AC$98,'Alle ruter'!$Z$3:$Z$98,"H2",'Alle ruter'!$J$3:$J$98,$A36,'Alle ruter'!$AJ$3:$AJ$98,"&lt;="&amp;J$2)/2</f>
        <v>91.15820690136988</v>
      </c>
      <c r="K36" s="3">
        <f>SUMIFS('Alle ruter'!$AC$3:$AC$98,'Alle ruter'!$Z$3:$Z$98,"H2",'Alle ruter'!$I$3:$I$98,$A36,'Alle ruter'!$AJ$3:$AJ$98,"&lt;="&amp;K$2)/2+SUMIFS('Alle ruter'!$AC$3:$AC$98,'Alle ruter'!$Z$3:$Z$98,"H2",'Alle ruter'!$J$3:$J$98,$A36,'Alle ruter'!$AJ$3:$AJ$98,"&lt;="&amp;K$2)/2</f>
        <v>91.15820690136988</v>
      </c>
      <c r="L36" s="3">
        <f>SUMIFS('Alle ruter'!$AC$3:$AC$98,'Alle ruter'!$Z$3:$Z$98,"H2",'Alle ruter'!$I$3:$I$98,$A36,'Alle ruter'!$AJ$3:$AJ$98,"&lt;="&amp;L$2)/2+SUMIFS('Alle ruter'!$AC$3:$AC$98,'Alle ruter'!$Z$3:$Z$98,"H2",'Alle ruter'!$J$3:$J$98,$A36,'Alle ruter'!$AJ$3:$AJ$98,"&lt;="&amp;L$2)/2</f>
        <v>91.15820690136988</v>
      </c>
      <c r="M36" s="3">
        <f>SUMIFS('Alle ruter'!$AC$3:$AC$98,'Alle ruter'!$Z$3:$Z$98,"H2",'Alle ruter'!$I$3:$I$98,$A36,'Alle ruter'!$AJ$3:$AJ$98,"&lt;="&amp;M$2)/2+SUMIFS('Alle ruter'!$AC$3:$AC$98,'Alle ruter'!$Z$3:$Z$98,"H2",'Alle ruter'!$J$3:$J$98,$A36,'Alle ruter'!$AJ$3:$AJ$98,"&lt;="&amp;M$2)/2</f>
        <v>91.15820690136988</v>
      </c>
      <c r="N36" s="3">
        <f>SUMIFS('Alle ruter'!$AC$3:$AC$98,'Alle ruter'!$Z$3:$Z$98,"H2",'Alle ruter'!$I$3:$I$98,$A36,'Alle ruter'!$AJ$3:$AJ$98,"&lt;="&amp;N$2)/2+SUMIFS('Alle ruter'!$AC$3:$AC$98,'Alle ruter'!$Z$3:$Z$98,"H2",'Alle ruter'!$J$3:$J$98,$A36,'Alle ruter'!$AJ$3:$AJ$98,"&lt;="&amp;N$2)/2</f>
        <v>91.15820690136988</v>
      </c>
      <c r="O36" s="3">
        <f>SUMIFS('Alle ruter'!$AC$3:$AC$98,'Alle ruter'!$Z$3:$Z$98,"H2",'Alle ruter'!$I$3:$I$98,$A36,'Alle ruter'!$AJ$3:$AJ$98,"&lt;="&amp;O$2)/2+SUMIFS('Alle ruter'!$AC$3:$AC$98,'Alle ruter'!$Z$3:$Z$98,"H2",'Alle ruter'!$J$3:$J$98,$A36,'Alle ruter'!$AJ$3:$AJ$98,"&lt;="&amp;O$2)/2</f>
        <v>91.15820690136988</v>
      </c>
      <c r="P36" s="3">
        <f>SUMIFS('Alle ruter'!$AC$3:$AC$98,'Alle ruter'!$Z$3:$Z$98,"H2",'Alle ruter'!$I$3:$I$98,$A36,'Alle ruter'!$AJ$3:$AJ$98,"&lt;="&amp;P$2)/2+SUMIFS('Alle ruter'!$AC$3:$AC$98,'Alle ruter'!$Z$3:$Z$98,"H2",'Alle ruter'!$J$3:$J$98,$A36,'Alle ruter'!$AJ$3:$AJ$98,"&lt;="&amp;P$2)/2</f>
        <v>91.15820690136988</v>
      </c>
      <c r="Q36" s="3">
        <f>SUMIFS('Alle ruter'!$AC$3:$AC$98,'Alle ruter'!$Z$3:$Z$98,"H2",'Alle ruter'!$I$3:$I$98,$A36,'Alle ruter'!$AJ$3:$AJ$98,"&lt;="&amp;Q$2)/2+SUMIFS('Alle ruter'!$AC$3:$AC$98,'Alle ruter'!$Z$3:$Z$98,"H2",'Alle ruter'!$J$3:$J$98,$A36,'Alle ruter'!$AJ$3:$AJ$98,"&lt;="&amp;Q$2)/2</f>
        <v>91.15820690136988</v>
      </c>
      <c r="R36" s="3">
        <f>SUMIFS('Alle ruter'!$AC$3:$AC$98,'Alle ruter'!$Z$3:$Z$98,"H2",'Alle ruter'!$I$3:$I$98,$A36,'Alle ruter'!$AJ$3:$AJ$98,"&lt;="&amp;R$2)/2+SUMIFS('Alle ruter'!$AC$3:$AC$98,'Alle ruter'!$Z$3:$Z$98,"H2",'Alle ruter'!$J$3:$J$98,$A36,'Alle ruter'!$AJ$3:$AJ$98,"&lt;="&amp;R$2)/2</f>
        <v>91.15820690136988</v>
      </c>
      <c r="S36" s="3">
        <f>SUMIFS('Alle ruter'!$AC$3:$AC$98,'Alle ruter'!$Z$3:$Z$98,"H2",'Alle ruter'!$I$3:$I$98,$A36,'Alle ruter'!$AJ$3:$AJ$98,"&lt;="&amp;S$2)/2+SUMIFS('Alle ruter'!$AC$3:$AC$98,'Alle ruter'!$Z$3:$Z$98,"H2",'Alle ruter'!$J$3:$J$98,$A36,'Alle ruter'!$AJ$3:$AJ$98,"&lt;="&amp;S$2)/2</f>
        <v>91.15820690136988</v>
      </c>
      <c r="T36" s="3"/>
    </row>
    <row r="37" spans="1:20" x14ac:dyDescent="0.3">
      <c r="A37" t="s">
        <v>121</v>
      </c>
      <c r="B37" t="s">
        <v>388</v>
      </c>
      <c r="C37" s="3">
        <f>COUNTIF('Alle ruter'!$I$3:$I$98,'H2 pr endeplass'!A37)+COUNTIFS('Alle ruter'!$J$3:$J$98,'H2 pr endeplass'!A37,'Alle ruter'!$K$3:$K$98,"Nei")</f>
        <v>1</v>
      </c>
      <c r="D37" s="3">
        <f>COUNTIFS('Alle ruter'!$I$3:$I$98,'H2 pr endeplass'!A37,'Alle ruter'!$Z$3:$Z$98,"H2")+COUNTIFS('Alle ruter'!$J$3:$J$98,'H2 pr endeplass'!A37,'Alle ruter'!$K$3:$K$98,"Nei",'Alle ruter'!$Z$3:$Z$98,"H2")</f>
        <v>1</v>
      </c>
      <c r="E37">
        <v>0</v>
      </c>
      <c r="F37" s="3">
        <f>SUMIFS('Alle ruter'!$AC$3:$AC$98,'Alle ruter'!$Z$3:$Z$98,"H2",'Alle ruter'!$I$3:$I$98,$A37,'Alle ruter'!$AJ$3:$AJ$98,"&lt;="&amp;F$2)/2+SUMIFS('Alle ruter'!$AC$3:$AC$98,'Alle ruter'!$Z$3:$Z$98,"H2",'Alle ruter'!$J$3:$J$98,$A37,'Alle ruter'!$AJ$3:$AJ$98,"&lt;="&amp;F$2)/2</f>
        <v>0</v>
      </c>
      <c r="G37" s="3">
        <f>SUMIFS('Alle ruter'!$AC$3:$AC$98,'Alle ruter'!$Z$3:$Z$98,"H2",'Alle ruter'!$I$3:$I$98,$A37,'Alle ruter'!$AJ$3:$AJ$98,"&lt;="&amp;G$2)/2+SUMIFS('Alle ruter'!$AC$3:$AC$98,'Alle ruter'!$Z$3:$Z$98,"H2",'Alle ruter'!$J$3:$J$98,$A37,'Alle ruter'!$AJ$3:$AJ$98,"&lt;="&amp;G$2)/2</f>
        <v>0</v>
      </c>
      <c r="H37" s="3">
        <f>SUMIFS('Alle ruter'!$AC$3:$AC$98,'Alle ruter'!$Z$3:$Z$98,"H2",'Alle ruter'!$I$3:$I$98,$A37,'Alle ruter'!$AJ$3:$AJ$98,"&lt;="&amp;H$2)/2+SUMIFS('Alle ruter'!$AC$3:$AC$98,'Alle ruter'!$Z$3:$Z$98,"H2",'Alle ruter'!$J$3:$J$98,$A37,'Alle ruter'!$AJ$3:$AJ$98,"&lt;="&amp;H$2)/2</f>
        <v>0</v>
      </c>
      <c r="I37" s="3">
        <f>SUMIFS('Alle ruter'!$AC$3:$AC$98,'Alle ruter'!$Z$3:$Z$98,"H2",'Alle ruter'!$I$3:$I$98,$A37,'Alle ruter'!$AJ$3:$AJ$98,"&lt;="&amp;I$2)/2+SUMIFS('Alle ruter'!$AC$3:$AC$98,'Alle ruter'!$Z$3:$Z$98,"H2",'Alle ruter'!$J$3:$J$98,$A37,'Alle ruter'!$AJ$3:$AJ$98,"&lt;="&amp;I$2)/2</f>
        <v>0</v>
      </c>
      <c r="J37" s="3">
        <f>SUMIFS('Alle ruter'!$AC$3:$AC$98,'Alle ruter'!$Z$3:$Z$98,"H2",'Alle ruter'!$I$3:$I$98,$A37,'Alle ruter'!$AJ$3:$AJ$98,"&lt;="&amp;J$2)/2+SUMIFS('Alle ruter'!$AC$3:$AC$98,'Alle ruter'!$Z$3:$Z$98,"H2",'Alle ruter'!$J$3:$J$98,$A37,'Alle ruter'!$AJ$3:$AJ$98,"&lt;="&amp;J$2)/2</f>
        <v>83.211593696803661</v>
      </c>
      <c r="K37" s="3">
        <f>SUMIFS('Alle ruter'!$AC$3:$AC$98,'Alle ruter'!$Z$3:$Z$98,"H2",'Alle ruter'!$I$3:$I$98,$A37,'Alle ruter'!$AJ$3:$AJ$98,"&lt;="&amp;K$2)/2+SUMIFS('Alle ruter'!$AC$3:$AC$98,'Alle ruter'!$Z$3:$Z$98,"H2",'Alle ruter'!$J$3:$J$98,$A37,'Alle ruter'!$AJ$3:$AJ$98,"&lt;="&amp;K$2)/2</f>
        <v>83.211593696803661</v>
      </c>
      <c r="L37" s="3">
        <f>SUMIFS('Alle ruter'!$AC$3:$AC$98,'Alle ruter'!$Z$3:$Z$98,"H2",'Alle ruter'!$I$3:$I$98,$A37,'Alle ruter'!$AJ$3:$AJ$98,"&lt;="&amp;L$2)/2+SUMIFS('Alle ruter'!$AC$3:$AC$98,'Alle ruter'!$Z$3:$Z$98,"H2",'Alle ruter'!$J$3:$J$98,$A37,'Alle ruter'!$AJ$3:$AJ$98,"&lt;="&amp;L$2)/2</f>
        <v>83.211593696803661</v>
      </c>
      <c r="M37" s="3">
        <f>SUMIFS('Alle ruter'!$AC$3:$AC$98,'Alle ruter'!$Z$3:$Z$98,"H2",'Alle ruter'!$I$3:$I$98,$A37,'Alle ruter'!$AJ$3:$AJ$98,"&lt;="&amp;M$2)/2+SUMIFS('Alle ruter'!$AC$3:$AC$98,'Alle ruter'!$Z$3:$Z$98,"H2",'Alle ruter'!$J$3:$J$98,$A37,'Alle ruter'!$AJ$3:$AJ$98,"&lt;="&amp;M$2)/2</f>
        <v>83.211593696803661</v>
      </c>
      <c r="N37" s="3">
        <f>SUMIFS('Alle ruter'!$AC$3:$AC$98,'Alle ruter'!$Z$3:$Z$98,"H2",'Alle ruter'!$I$3:$I$98,$A37,'Alle ruter'!$AJ$3:$AJ$98,"&lt;="&amp;N$2)/2+SUMIFS('Alle ruter'!$AC$3:$AC$98,'Alle ruter'!$Z$3:$Z$98,"H2",'Alle ruter'!$J$3:$J$98,$A37,'Alle ruter'!$AJ$3:$AJ$98,"&lt;="&amp;N$2)/2</f>
        <v>83.211593696803661</v>
      </c>
      <c r="O37" s="3">
        <f>SUMIFS('Alle ruter'!$AC$3:$AC$98,'Alle ruter'!$Z$3:$Z$98,"H2",'Alle ruter'!$I$3:$I$98,$A37,'Alle ruter'!$AJ$3:$AJ$98,"&lt;="&amp;O$2)/2+SUMIFS('Alle ruter'!$AC$3:$AC$98,'Alle ruter'!$Z$3:$Z$98,"H2",'Alle ruter'!$J$3:$J$98,$A37,'Alle ruter'!$AJ$3:$AJ$98,"&lt;="&amp;O$2)/2</f>
        <v>83.211593696803661</v>
      </c>
      <c r="P37" s="3">
        <f>SUMIFS('Alle ruter'!$AC$3:$AC$98,'Alle ruter'!$Z$3:$Z$98,"H2",'Alle ruter'!$I$3:$I$98,$A37,'Alle ruter'!$AJ$3:$AJ$98,"&lt;="&amp;P$2)/2+SUMIFS('Alle ruter'!$AC$3:$AC$98,'Alle ruter'!$Z$3:$Z$98,"H2",'Alle ruter'!$J$3:$J$98,$A37,'Alle ruter'!$AJ$3:$AJ$98,"&lt;="&amp;P$2)/2</f>
        <v>83.211593696803661</v>
      </c>
      <c r="Q37" s="3">
        <f>SUMIFS('Alle ruter'!$AC$3:$AC$98,'Alle ruter'!$Z$3:$Z$98,"H2",'Alle ruter'!$I$3:$I$98,$A37,'Alle ruter'!$AJ$3:$AJ$98,"&lt;="&amp;Q$2)/2+SUMIFS('Alle ruter'!$AC$3:$AC$98,'Alle ruter'!$Z$3:$Z$98,"H2",'Alle ruter'!$J$3:$J$98,$A37,'Alle ruter'!$AJ$3:$AJ$98,"&lt;="&amp;Q$2)/2</f>
        <v>83.211593696803661</v>
      </c>
      <c r="R37" s="3">
        <f>SUMIFS('Alle ruter'!$AC$3:$AC$98,'Alle ruter'!$Z$3:$Z$98,"H2",'Alle ruter'!$I$3:$I$98,$A37,'Alle ruter'!$AJ$3:$AJ$98,"&lt;="&amp;R$2)/2+SUMIFS('Alle ruter'!$AC$3:$AC$98,'Alle ruter'!$Z$3:$Z$98,"H2",'Alle ruter'!$J$3:$J$98,$A37,'Alle ruter'!$AJ$3:$AJ$98,"&lt;="&amp;R$2)/2</f>
        <v>83.211593696803661</v>
      </c>
      <c r="S37" s="3">
        <f>SUMIFS('Alle ruter'!$AC$3:$AC$98,'Alle ruter'!$Z$3:$Z$98,"H2",'Alle ruter'!$I$3:$I$98,$A37,'Alle ruter'!$AJ$3:$AJ$98,"&lt;="&amp;S$2)/2+SUMIFS('Alle ruter'!$AC$3:$AC$98,'Alle ruter'!$Z$3:$Z$98,"H2",'Alle ruter'!$J$3:$J$98,$A37,'Alle ruter'!$AJ$3:$AJ$98,"&lt;="&amp;S$2)/2</f>
        <v>83.211593696803661</v>
      </c>
      <c r="T37" s="3"/>
    </row>
    <row r="38" spans="1:20" x14ac:dyDescent="0.3">
      <c r="A38" t="s">
        <v>122</v>
      </c>
      <c r="B38" t="s">
        <v>388</v>
      </c>
      <c r="C38" s="3">
        <f>COUNTIF('Alle ruter'!$I$3:$I$98,'H2 pr endeplass'!A38)+COUNTIFS('Alle ruter'!$J$3:$J$98,'H2 pr endeplass'!A38,'Alle ruter'!$K$3:$K$98,"Nei")</f>
        <v>1</v>
      </c>
      <c r="D38" s="3">
        <f>COUNTIFS('Alle ruter'!$I$3:$I$98,'H2 pr endeplass'!A38,'Alle ruter'!$Z$3:$Z$98,"H2")+COUNTIFS('Alle ruter'!$J$3:$J$98,'H2 pr endeplass'!A38,'Alle ruter'!$K$3:$K$98,"Nei",'Alle ruter'!$Z$3:$Z$98,"H2")</f>
        <v>1</v>
      </c>
      <c r="E38">
        <v>0</v>
      </c>
      <c r="F38" s="3">
        <f>SUMIFS('Alle ruter'!$AC$3:$AC$98,'Alle ruter'!$Z$3:$Z$98,"H2",'Alle ruter'!$I$3:$I$98,$A38,'Alle ruter'!$AJ$3:$AJ$98,"&lt;="&amp;F$2)/2+SUMIFS('Alle ruter'!$AC$3:$AC$98,'Alle ruter'!$Z$3:$Z$98,"H2",'Alle ruter'!$J$3:$J$98,$A38,'Alle ruter'!$AJ$3:$AJ$98,"&lt;="&amp;F$2)/2</f>
        <v>0</v>
      </c>
      <c r="G38" s="3">
        <f>SUMIFS('Alle ruter'!$AC$3:$AC$98,'Alle ruter'!$Z$3:$Z$98,"H2",'Alle ruter'!$I$3:$I$98,$A38,'Alle ruter'!$AJ$3:$AJ$98,"&lt;="&amp;G$2)/2+SUMIFS('Alle ruter'!$AC$3:$AC$98,'Alle ruter'!$Z$3:$Z$98,"H2",'Alle ruter'!$J$3:$J$98,$A38,'Alle ruter'!$AJ$3:$AJ$98,"&lt;="&amp;G$2)/2</f>
        <v>0</v>
      </c>
      <c r="H38" s="3">
        <f>SUMIFS('Alle ruter'!$AC$3:$AC$98,'Alle ruter'!$Z$3:$Z$98,"H2",'Alle ruter'!$I$3:$I$98,$A38,'Alle ruter'!$AJ$3:$AJ$98,"&lt;="&amp;H$2)/2+SUMIFS('Alle ruter'!$AC$3:$AC$98,'Alle ruter'!$Z$3:$Z$98,"H2",'Alle ruter'!$J$3:$J$98,$A38,'Alle ruter'!$AJ$3:$AJ$98,"&lt;="&amp;H$2)/2</f>
        <v>0</v>
      </c>
      <c r="I38" s="3">
        <f>SUMIFS('Alle ruter'!$AC$3:$AC$98,'Alle ruter'!$Z$3:$Z$98,"H2",'Alle ruter'!$I$3:$I$98,$A38,'Alle ruter'!$AJ$3:$AJ$98,"&lt;="&amp;I$2)/2+SUMIFS('Alle ruter'!$AC$3:$AC$98,'Alle ruter'!$Z$3:$Z$98,"H2",'Alle ruter'!$J$3:$J$98,$A38,'Alle ruter'!$AJ$3:$AJ$98,"&lt;="&amp;I$2)/2</f>
        <v>0</v>
      </c>
      <c r="J38" s="3">
        <f>SUMIFS('Alle ruter'!$AC$3:$AC$98,'Alle ruter'!$Z$3:$Z$98,"H2",'Alle ruter'!$I$3:$I$98,$A38,'Alle ruter'!$AJ$3:$AJ$98,"&lt;="&amp;J$2)/2+SUMIFS('Alle ruter'!$AC$3:$AC$98,'Alle ruter'!$Z$3:$Z$98,"H2",'Alle ruter'!$J$3:$J$98,$A38,'Alle ruter'!$AJ$3:$AJ$98,"&lt;="&amp;J$2)/2</f>
        <v>83.211593696803661</v>
      </c>
      <c r="K38" s="3">
        <f>SUMIFS('Alle ruter'!$AC$3:$AC$98,'Alle ruter'!$Z$3:$Z$98,"H2",'Alle ruter'!$I$3:$I$98,$A38,'Alle ruter'!$AJ$3:$AJ$98,"&lt;="&amp;K$2)/2+SUMIFS('Alle ruter'!$AC$3:$AC$98,'Alle ruter'!$Z$3:$Z$98,"H2",'Alle ruter'!$J$3:$J$98,$A38,'Alle ruter'!$AJ$3:$AJ$98,"&lt;="&amp;K$2)/2</f>
        <v>83.211593696803661</v>
      </c>
      <c r="L38" s="3">
        <f>SUMIFS('Alle ruter'!$AC$3:$AC$98,'Alle ruter'!$Z$3:$Z$98,"H2",'Alle ruter'!$I$3:$I$98,$A38,'Alle ruter'!$AJ$3:$AJ$98,"&lt;="&amp;L$2)/2+SUMIFS('Alle ruter'!$AC$3:$AC$98,'Alle ruter'!$Z$3:$Z$98,"H2",'Alle ruter'!$J$3:$J$98,$A38,'Alle ruter'!$AJ$3:$AJ$98,"&lt;="&amp;L$2)/2</f>
        <v>83.211593696803661</v>
      </c>
      <c r="M38" s="3">
        <f>SUMIFS('Alle ruter'!$AC$3:$AC$98,'Alle ruter'!$Z$3:$Z$98,"H2",'Alle ruter'!$I$3:$I$98,$A38,'Alle ruter'!$AJ$3:$AJ$98,"&lt;="&amp;M$2)/2+SUMIFS('Alle ruter'!$AC$3:$AC$98,'Alle ruter'!$Z$3:$Z$98,"H2",'Alle ruter'!$J$3:$J$98,$A38,'Alle ruter'!$AJ$3:$AJ$98,"&lt;="&amp;M$2)/2</f>
        <v>83.211593696803661</v>
      </c>
      <c r="N38" s="3">
        <f>SUMIFS('Alle ruter'!$AC$3:$AC$98,'Alle ruter'!$Z$3:$Z$98,"H2",'Alle ruter'!$I$3:$I$98,$A38,'Alle ruter'!$AJ$3:$AJ$98,"&lt;="&amp;N$2)/2+SUMIFS('Alle ruter'!$AC$3:$AC$98,'Alle ruter'!$Z$3:$Z$98,"H2",'Alle ruter'!$J$3:$J$98,$A38,'Alle ruter'!$AJ$3:$AJ$98,"&lt;="&amp;N$2)/2</f>
        <v>83.211593696803661</v>
      </c>
      <c r="O38" s="3">
        <f>SUMIFS('Alle ruter'!$AC$3:$AC$98,'Alle ruter'!$Z$3:$Z$98,"H2",'Alle ruter'!$I$3:$I$98,$A38,'Alle ruter'!$AJ$3:$AJ$98,"&lt;="&amp;O$2)/2+SUMIFS('Alle ruter'!$AC$3:$AC$98,'Alle ruter'!$Z$3:$Z$98,"H2",'Alle ruter'!$J$3:$J$98,$A38,'Alle ruter'!$AJ$3:$AJ$98,"&lt;="&amp;O$2)/2</f>
        <v>83.211593696803661</v>
      </c>
      <c r="P38" s="3">
        <f>SUMIFS('Alle ruter'!$AC$3:$AC$98,'Alle ruter'!$Z$3:$Z$98,"H2",'Alle ruter'!$I$3:$I$98,$A38,'Alle ruter'!$AJ$3:$AJ$98,"&lt;="&amp;P$2)/2+SUMIFS('Alle ruter'!$AC$3:$AC$98,'Alle ruter'!$Z$3:$Z$98,"H2",'Alle ruter'!$J$3:$J$98,$A38,'Alle ruter'!$AJ$3:$AJ$98,"&lt;="&amp;P$2)/2</f>
        <v>83.211593696803661</v>
      </c>
      <c r="Q38" s="3">
        <f>SUMIFS('Alle ruter'!$AC$3:$AC$98,'Alle ruter'!$Z$3:$Z$98,"H2",'Alle ruter'!$I$3:$I$98,$A38,'Alle ruter'!$AJ$3:$AJ$98,"&lt;="&amp;Q$2)/2+SUMIFS('Alle ruter'!$AC$3:$AC$98,'Alle ruter'!$Z$3:$Z$98,"H2",'Alle ruter'!$J$3:$J$98,$A38,'Alle ruter'!$AJ$3:$AJ$98,"&lt;="&amp;Q$2)/2</f>
        <v>83.211593696803661</v>
      </c>
      <c r="R38" s="3">
        <f>SUMIFS('Alle ruter'!$AC$3:$AC$98,'Alle ruter'!$Z$3:$Z$98,"H2",'Alle ruter'!$I$3:$I$98,$A38,'Alle ruter'!$AJ$3:$AJ$98,"&lt;="&amp;R$2)/2+SUMIFS('Alle ruter'!$AC$3:$AC$98,'Alle ruter'!$Z$3:$Z$98,"H2",'Alle ruter'!$J$3:$J$98,$A38,'Alle ruter'!$AJ$3:$AJ$98,"&lt;="&amp;R$2)/2</f>
        <v>83.211593696803661</v>
      </c>
      <c r="S38" s="3">
        <f>SUMIFS('Alle ruter'!$AC$3:$AC$98,'Alle ruter'!$Z$3:$Z$98,"H2",'Alle ruter'!$I$3:$I$98,$A38,'Alle ruter'!$AJ$3:$AJ$98,"&lt;="&amp;S$2)/2+SUMIFS('Alle ruter'!$AC$3:$AC$98,'Alle ruter'!$Z$3:$Z$98,"H2",'Alle ruter'!$J$3:$J$98,$A38,'Alle ruter'!$AJ$3:$AJ$98,"&lt;="&amp;S$2)/2</f>
        <v>83.211593696803661</v>
      </c>
      <c r="T38" s="3"/>
    </row>
    <row r="39" spans="1:20" x14ac:dyDescent="0.3">
      <c r="A39" t="s">
        <v>140</v>
      </c>
      <c r="B39" t="s">
        <v>388</v>
      </c>
      <c r="C39" s="3">
        <f>COUNTIF('Alle ruter'!$I$3:$I$98,'H2 pr endeplass'!A40)+COUNTIFS('Alle ruter'!$J$3:$J$98,'H2 pr endeplass'!A40,'Alle ruter'!$K$3:$K$98,"Nei")</f>
        <v>1</v>
      </c>
      <c r="D39" s="3">
        <f>COUNTIFS('Alle ruter'!$I$3:$I$98,'H2 pr endeplass'!A40,'Alle ruter'!$Z$3:$Z$98,"H2")+COUNTIFS('Alle ruter'!$J$3:$J$98,'H2 pr endeplass'!A40,'Alle ruter'!$K$3:$K$98,"Nei",'Alle ruter'!$Z$3:$Z$98,"H2")</f>
        <v>1</v>
      </c>
      <c r="E39">
        <v>0</v>
      </c>
      <c r="F39" s="3">
        <f>SUMIFS('Alle ruter'!$AC$3:$AC$98,'Alle ruter'!$Z$3:$Z$98,"H2",'Alle ruter'!$I$3:$I$98,$A39,'Alle ruter'!$AJ$3:$AJ$98,"&lt;="&amp;F$2)/2+SUMIFS('Alle ruter'!$AC$3:$AC$98,'Alle ruter'!$Z$3:$Z$98,"H2",'Alle ruter'!$J$3:$J$98,$A39,'Alle ruter'!$AJ$3:$AJ$98,"&lt;="&amp;F$2)/2</f>
        <v>0</v>
      </c>
      <c r="G39" s="3">
        <f>SUMIFS('Alle ruter'!$AC$3:$AC$98,'Alle ruter'!$Z$3:$Z$98,"H2",'Alle ruter'!$I$3:$I$98,$A39,'Alle ruter'!$AJ$3:$AJ$98,"&lt;="&amp;G$2)/2+SUMIFS('Alle ruter'!$AC$3:$AC$98,'Alle ruter'!$Z$3:$Z$98,"H2",'Alle ruter'!$J$3:$J$98,$A39,'Alle ruter'!$AJ$3:$AJ$98,"&lt;="&amp;G$2)/2</f>
        <v>0</v>
      </c>
      <c r="H39" s="3">
        <f>SUMIFS('Alle ruter'!$AC$3:$AC$98,'Alle ruter'!$Z$3:$Z$98,"H2",'Alle ruter'!$I$3:$I$98,$A39,'Alle ruter'!$AJ$3:$AJ$98,"&lt;="&amp;H$2)/2+SUMIFS('Alle ruter'!$AC$3:$AC$98,'Alle ruter'!$Z$3:$Z$98,"H2",'Alle ruter'!$J$3:$J$98,$A39,'Alle ruter'!$AJ$3:$AJ$98,"&lt;="&amp;H$2)/2</f>
        <v>68.349122775951287</v>
      </c>
      <c r="I39" s="3">
        <f>SUMIFS('Alle ruter'!$AC$3:$AC$98,'Alle ruter'!$Z$3:$Z$98,"H2",'Alle ruter'!$I$3:$I$98,$A39,'Alle ruter'!$AJ$3:$AJ$98,"&lt;="&amp;I$2)/2+SUMIFS('Alle ruter'!$AC$3:$AC$98,'Alle ruter'!$Z$3:$Z$98,"H2",'Alle ruter'!$J$3:$J$98,$A39,'Alle ruter'!$AJ$3:$AJ$98,"&lt;="&amp;I$2)/2</f>
        <v>68.349122775951287</v>
      </c>
      <c r="J39" s="3">
        <f>SUMIFS('Alle ruter'!$AC$3:$AC$98,'Alle ruter'!$Z$3:$Z$98,"H2",'Alle ruter'!$I$3:$I$98,$A39,'Alle ruter'!$AJ$3:$AJ$98,"&lt;="&amp;J$2)/2+SUMIFS('Alle ruter'!$AC$3:$AC$98,'Alle ruter'!$Z$3:$Z$98,"H2",'Alle ruter'!$J$3:$J$98,$A39,'Alle ruter'!$AJ$3:$AJ$98,"&lt;="&amp;J$2)/2</f>
        <v>68.349122775951287</v>
      </c>
      <c r="K39" s="3">
        <f>SUMIFS('Alle ruter'!$AC$3:$AC$98,'Alle ruter'!$Z$3:$Z$98,"H2",'Alle ruter'!$I$3:$I$98,$A39,'Alle ruter'!$AJ$3:$AJ$98,"&lt;="&amp;K$2)/2+SUMIFS('Alle ruter'!$AC$3:$AC$98,'Alle ruter'!$Z$3:$Z$98,"H2",'Alle ruter'!$J$3:$J$98,$A39,'Alle ruter'!$AJ$3:$AJ$98,"&lt;="&amp;K$2)/2</f>
        <v>68.349122775951287</v>
      </c>
      <c r="L39" s="3">
        <f>SUMIFS('Alle ruter'!$AC$3:$AC$98,'Alle ruter'!$Z$3:$Z$98,"H2",'Alle ruter'!$I$3:$I$98,$A39,'Alle ruter'!$AJ$3:$AJ$98,"&lt;="&amp;L$2)/2+SUMIFS('Alle ruter'!$AC$3:$AC$98,'Alle ruter'!$Z$3:$Z$98,"H2",'Alle ruter'!$J$3:$J$98,$A39,'Alle ruter'!$AJ$3:$AJ$98,"&lt;="&amp;L$2)/2</f>
        <v>68.349122775951287</v>
      </c>
      <c r="M39" s="3">
        <f>SUMIFS('Alle ruter'!$AC$3:$AC$98,'Alle ruter'!$Z$3:$Z$98,"H2",'Alle ruter'!$I$3:$I$98,$A39,'Alle ruter'!$AJ$3:$AJ$98,"&lt;="&amp;M$2)/2+SUMIFS('Alle ruter'!$AC$3:$AC$98,'Alle ruter'!$Z$3:$Z$98,"H2",'Alle ruter'!$J$3:$J$98,$A39,'Alle ruter'!$AJ$3:$AJ$98,"&lt;="&amp;M$2)/2</f>
        <v>68.349122775951287</v>
      </c>
      <c r="N39" s="3">
        <f>SUMIFS('Alle ruter'!$AC$3:$AC$98,'Alle ruter'!$Z$3:$Z$98,"H2",'Alle ruter'!$I$3:$I$98,$A39,'Alle ruter'!$AJ$3:$AJ$98,"&lt;="&amp;N$2)/2+SUMIFS('Alle ruter'!$AC$3:$AC$98,'Alle ruter'!$Z$3:$Z$98,"H2",'Alle ruter'!$J$3:$J$98,$A39,'Alle ruter'!$AJ$3:$AJ$98,"&lt;="&amp;N$2)/2</f>
        <v>68.349122775951287</v>
      </c>
      <c r="O39" s="3">
        <f>SUMIFS('Alle ruter'!$AC$3:$AC$98,'Alle ruter'!$Z$3:$Z$98,"H2",'Alle ruter'!$I$3:$I$98,$A39,'Alle ruter'!$AJ$3:$AJ$98,"&lt;="&amp;O$2)/2+SUMIFS('Alle ruter'!$AC$3:$AC$98,'Alle ruter'!$Z$3:$Z$98,"H2",'Alle ruter'!$J$3:$J$98,$A39,'Alle ruter'!$AJ$3:$AJ$98,"&lt;="&amp;O$2)/2</f>
        <v>68.349122775951287</v>
      </c>
      <c r="P39" s="3">
        <f>SUMIFS('Alle ruter'!$AC$3:$AC$98,'Alle ruter'!$Z$3:$Z$98,"H2",'Alle ruter'!$I$3:$I$98,$A39,'Alle ruter'!$AJ$3:$AJ$98,"&lt;="&amp;P$2)/2+SUMIFS('Alle ruter'!$AC$3:$AC$98,'Alle ruter'!$Z$3:$Z$98,"H2",'Alle ruter'!$J$3:$J$98,$A39,'Alle ruter'!$AJ$3:$AJ$98,"&lt;="&amp;P$2)/2</f>
        <v>68.349122775951287</v>
      </c>
      <c r="Q39" s="3">
        <f>SUMIFS('Alle ruter'!$AC$3:$AC$98,'Alle ruter'!$Z$3:$Z$98,"H2",'Alle ruter'!$I$3:$I$98,$A39,'Alle ruter'!$AJ$3:$AJ$98,"&lt;="&amp;Q$2)/2+SUMIFS('Alle ruter'!$AC$3:$AC$98,'Alle ruter'!$Z$3:$Z$98,"H2",'Alle ruter'!$J$3:$J$98,$A39,'Alle ruter'!$AJ$3:$AJ$98,"&lt;="&amp;Q$2)/2</f>
        <v>68.349122775951287</v>
      </c>
      <c r="R39" s="3">
        <f>SUMIFS('Alle ruter'!$AC$3:$AC$98,'Alle ruter'!$Z$3:$Z$98,"H2",'Alle ruter'!$I$3:$I$98,$A39,'Alle ruter'!$AJ$3:$AJ$98,"&lt;="&amp;R$2)/2+SUMIFS('Alle ruter'!$AC$3:$AC$98,'Alle ruter'!$Z$3:$Z$98,"H2",'Alle ruter'!$J$3:$J$98,$A39,'Alle ruter'!$AJ$3:$AJ$98,"&lt;="&amp;R$2)/2</f>
        <v>68.349122775951287</v>
      </c>
      <c r="S39" s="3">
        <f>SUMIFS('Alle ruter'!$AC$3:$AC$98,'Alle ruter'!$Z$3:$Z$98,"H2",'Alle ruter'!$I$3:$I$98,$A39,'Alle ruter'!$AJ$3:$AJ$98,"&lt;="&amp;S$2)/2+SUMIFS('Alle ruter'!$AC$3:$AC$98,'Alle ruter'!$Z$3:$Z$98,"H2",'Alle ruter'!$J$3:$J$98,$A39,'Alle ruter'!$AJ$3:$AJ$98,"&lt;="&amp;S$2)/2</f>
        <v>68.349122775951287</v>
      </c>
      <c r="T39" s="3"/>
    </row>
    <row r="40" spans="1:20" x14ac:dyDescent="0.3">
      <c r="A40" t="s">
        <v>142</v>
      </c>
      <c r="B40" t="s">
        <v>389</v>
      </c>
      <c r="C40" s="3">
        <f>COUNTIF('Alle ruter'!$I$3:$I$98,'H2 pr endeplass'!A41)+COUNTIFS('Alle ruter'!$J$3:$J$98,'H2 pr endeplass'!A41,'Alle ruter'!$K$3:$K$98,"Nei")</f>
        <v>1</v>
      </c>
      <c r="D40" s="3">
        <f>COUNTIFS('Alle ruter'!$I$3:$I$98,'H2 pr endeplass'!A41,'Alle ruter'!$Z$3:$Z$98,"H2")+COUNTIFS('Alle ruter'!$J$3:$J$98,'H2 pr endeplass'!A41,'Alle ruter'!$K$3:$K$98,"Nei",'Alle ruter'!$Z$3:$Z$98,"H2")</f>
        <v>1</v>
      </c>
      <c r="E40">
        <v>0</v>
      </c>
      <c r="F40" s="3">
        <f>SUMIFS('Alle ruter'!$AC$3:$AC$98,'Alle ruter'!$Z$3:$Z$98,"H2",'Alle ruter'!$I$3:$I$98,$A40,'Alle ruter'!$AJ$3:$AJ$98,"&lt;="&amp;F$2)/2+SUMIFS('Alle ruter'!$AC$3:$AC$98,'Alle ruter'!$Z$3:$Z$98,"H2",'Alle ruter'!$J$3:$J$98,$A40,'Alle ruter'!$AJ$3:$AJ$98,"&lt;="&amp;F$2)/2</f>
        <v>0</v>
      </c>
      <c r="G40" s="3">
        <f>SUMIFS('Alle ruter'!$AC$3:$AC$98,'Alle ruter'!$Z$3:$Z$98,"H2",'Alle ruter'!$I$3:$I$98,$A40,'Alle ruter'!$AJ$3:$AJ$98,"&lt;="&amp;G$2)/2+SUMIFS('Alle ruter'!$AC$3:$AC$98,'Alle ruter'!$Z$3:$Z$98,"H2",'Alle ruter'!$J$3:$J$98,$A40,'Alle ruter'!$AJ$3:$AJ$98,"&lt;="&amp;G$2)/2</f>
        <v>0</v>
      </c>
      <c r="H40" s="3">
        <f>SUMIFS('Alle ruter'!$AC$3:$AC$98,'Alle ruter'!$Z$3:$Z$98,"H2",'Alle ruter'!$I$3:$I$98,$A40,'Alle ruter'!$AJ$3:$AJ$98,"&lt;="&amp;H$2)/2+SUMIFS('Alle ruter'!$AC$3:$AC$98,'Alle ruter'!$Z$3:$Z$98,"H2",'Alle ruter'!$J$3:$J$98,$A40,'Alle ruter'!$AJ$3:$AJ$98,"&lt;="&amp;H$2)/2</f>
        <v>0</v>
      </c>
      <c r="I40" s="3">
        <f>SUMIFS('Alle ruter'!$AC$3:$AC$98,'Alle ruter'!$Z$3:$Z$98,"H2",'Alle ruter'!$I$3:$I$98,$A40,'Alle ruter'!$AJ$3:$AJ$98,"&lt;="&amp;I$2)/2+SUMIFS('Alle ruter'!$AC$3:$AC$98,'Alle ruter'!$Z$3:$Z$98,"H2",'Alle ruter'!$J$3:$J$98,$A40,'Alle ruter'!$AJ$3:$AJ$98,"&lt;="&amp;I$2)/2</f>
        <v>0</v>
      </c>
      <c r="J40" s="3">
        <f>SUMIFS('Alle ruter'!$AC$3:$AC$98,'Alle ruter'!$Z$3:$Z$98,"H2",'Alle ruter'!$I$3:$I$98,$A40,'Alle ruter'!$AJ$3:$AJ$98,"&lt;="&amp;J$2)/2+SUMIFS('Alle ruter'!$AC$3:$AC$98,'Alle ruter'!$Z$3:$Z$98,"H2",'Alle ruter'!$J$3:$J$98,$A40,'Alle ruter'!$AJ$3:$AJ$98,"&lt;="&amp;J$2)/2</f>
        <v>0</v>
      </c>
      <c r="K40" s="3">
        <f>SUMIFS('Alle ruter'!$AC$3:$AC$98,'Alle ruter'!$Z$3:$Z$98,"H2",'Alle ruter'!$I$3:$I$98,$A40,'Alle ruter'!$AJ$3:$AJ$98,"&lt;="&amp;K$2)/2+SUMIFS('Alle ruter'!$AC$3:$AC$98,'Alle ruter'!$Z$3:$Z$98,"H2",'Alle ruter'!$J$3:$J$98,$A40,'Alle ruter'!$AJ$3:$AJ$98,"&lt;="&amp;K$2)/2</f>
        <v>0</v>
      </c>
      <c r="L40" s="3">
        <f>SUMIFS('Alle ruter'!$AC$3:$AC$98,'Alle ruter'!$Z$3:$Z$98,"H2",'Alle ruter'!$I$3:$I$98,$A40,'Alle ruter'!$AJ$3:$AJ$98,"&lt;="&amp;L$2)/2+SUMIFS('Alle ruter'!$AC$3:$AC$98,'Alle ruter'!$Z$3:$Z$98,"H2",'Alle ruter'!$J$3:$J$98,$A40,'Alle ruter'!$AJ$3:$AJ$98,"&lt;="&amp;L$2)/2</f>
        <v>0</v>
      </c>
      <c r="M40" s="3">
        <f>SUMIFS('Alle ruter'!$AC$3:$AC$98,'Alle ruter'!$Z$3:$Z$98,"H2",'Alle ruter'!$I$3:$I$98,$A40,'Alle ruter'!$AJ$3:$AJ$98,"&lt;="&amp;M$2)/2+SUMIFS('Alle ruter'!$AC$3:$AC$98,'Alle ruter'!$Z$3:$Z$98,"H2",'Alle ruter'!$J$3:$J$98,$A40,'Alle ruter'!$AJ$3:$AJ$98,"&lt;="&amp;M$2)/2</f>
        <v>66.747267671232876</v>
      </c>
      <c r="N40" s="3">
        <f>SUMIFS('Alle ruter'!$AC$3:$AC$98,'Alle ruter'!$Z$3:$Z$98,"H2",'Alle ruter'!$I$3:$I$98,$A40,'Alle ruter'!$AJ$3:$AJ$98,"&lt;="&amp;N$2)/2+SUMIFS('Alle ruter'!$AC$3:$AC$98,'Alle ruter'!$Z$3:$Z$98,"H2",'Alle ruter'!$J$3:$J$98,$A40,'Alle ruter'!$AJ$3:$AJ$98,"&lt;="&amp;N$2)/2</f>
        <v>66.747267671232876</v>
      </c>
      <c r="O40" s="3">
        <f>SUMIFS('Alle ruter'!$AC$3:$AC$98,'Alle ruter'!$Z$3:$Z$98,"H2",'Alle ruter'!$I$3:$I$98,$A40,'Alle ruter'!$AJ$3:$AJ$98,"&lt;="&amp;O$2)/2+SUMIFS('Alle ruter'!$AC$3:$AC$98,'Alle ruter'!$Z$3:$Z$98,"H2",'Alle ruter'!$J$3:$J$98,$A40,'Alle ruter'!$AJ$3:$AJ$98,"&lt;="&amp;O$2)/2</f>
        <v>66.747267671232876</v>
      </c>
      <c r="P40" s="3">
        <f>SUMIFS('Alle ruter'!$AC$3:$AC$98,'Alle ruter'!$Z$3:$Z$98,"H2",'Alle ruter'!$I$3:$I$98,$A40,'Alle ruter'!$AJ$3:$AJ$98,"&lt;="&amp;P$2)/2+SUMIFS('Alle ruter'!$AC$3:$AC$98,'Alle ruter'!$Z$3:$Z$98,"H2",'Alle ruter'!$J$3:$J$98,$A40,'Alle ruter'!$AJ$3:$AJ$98,"&lt;="&amp;P$2)/2</f>
        <v>66.747267671232876</v>
      </c>
      <c r="Q40" s="3">
        <f>SUMIFS('Alle ruter'!$AC$3:$AC$98,'Alle ruter'!$Z$3:$Z$98,"H2",'Alle ruter'!$I$3:$I$98,$A40,'Alle ruter'!$AJ$3:$AJ$98,"&lt;="&amp;Q$2)/2+SUMIFS('Alle ruter'!$AC$3:$AC$98,'Alle ruter'!$Z$3:$Z$98,"H2",'Alle ruter'!$J$3:$J$98,$A40,'Alle ruter'!$AJ$3:$AJ$98,"&lt;="&amp;Q$2)/2</f>
        <v>66.747267671232876</v>
      </c>
      <c r="R40" s="3">
        <f>SUMIFS('Alle ruter'!$AC$3:$AC$98,'Alle ruter'!$Z$3:$Z$98,"H2",'Alle ruter'!$I$3:$I$98,$A40,'Alle ruter'!$AJ$3:$AJ$98,"&lt;="&amp;R$2)/2+SUMIFS('Alle ruter'!$AC$3:$AC$98,'Alle ruter'!$Z$3:$Z$98,"H2",'Alle ruter'!$J$3:$J$98,$A40,'Alle ruter'!$AJ$3:$AJ$98,"&lt;="&amp;R$2)/2</f>
        <v>66.747267671232876</v>
      </c>
      <c r="S40" s="3">
        <f>SUMIFS('Alle ruter'!$AC$3:$AC$98,'Alle ruter'!$Z$3:$Z$98,"H2",'Alle ruter'!$I$3:$I$98,$A40,'Alle ruter'!$AJ$3:$AJ$98,"&lt;="&amp;S$2)/2+SUMIFS('Alle ruter'!$AC$3:$AC$98,'Alle ruter'!$Z$3:$Z$98,"H2",'Alle ruter'!$J$3:$J$98,$A40,'Alle ruter'!$AJ$3:$AJ$98,"&lt;="&amp;S$2)/2</f>
        <v>66.747267671232876</v>
      </c>
      <c r="T40" s="3"/>
    </row>
    <row r="41" spans="1:20" x14ac:dyDescent="0.3">
      <c r="A41" t="s">
        <v>143</v>
      </c>
      <c r="B41" t="s">
        <v>389</v>
      </c>
      <c r="C41" s="3">
        <f>COUNTIF('Alle ruter'!$I$3:$I$98,'H2 pr endeplass'!A42)+COUNTIFS('Alle ruter'!$J$3:$J$98,'H2 pr endeplass'!A42,'Alle ruter'!$K$3:$K$98,"Nei")</f>
        <v>1</v>
      </c>
      <c r="D41" s="3">
        <f>COUNTIFS('Alle ruter'!$I$3:$I$98,'H2 pr endeplass'!A42,'Alle ruter'!$Z$3:$Z$98,"H2")+COUNTIFS('Alle ruter'!$J$3:$J$98,'H2 pr endeplass'!A42,'Alle ruter'!$K$3:$K$98,"Nei",'Alle ruter'!$Z$3:$Z$98,"H2")</f>
        <v>1</v>
      </c>
      <c r="E41">
        <v>0</v>
      </c>
      <c r="F41" s="3">
        <f>SUMIFS('Alle ruter'!$AC$3:$AC$98,'Alle ruter'!$Z$3:$Z$98,"H2",'Alle ruter'!$I$3:$I$98,$A41,'Alle ruter'!$AJ$3:$AJ$98,"&lt;="&amp;F$2)/2+SUMIFS('Alle ruter'!$AC$3:$AC$98,'Alle ruter'!$Z$3:$Z$98,"H2",'Alle ruter'!$J$3:$J$98,$A41,'Alle ruter'!$AJ$3:$AJ$98,"&lt;="&amp;F$2)/2</f>
        <v>0</v>
      </c>
      <c r="G41" s="3">
        <f>SUMIFS('Alle ruter'!$AC$3:$AC$98,'Alle ruter'!$Z$3:$Z$98,"H2",'Alle ruter'!$I$3:$I$98,$A41,'Alle ruter'!$AJ$3:$AJ$98,"&lt;="&amp;G$2)/2+SUMIFS('Alle ruter'!$AC$3:$AC$98,'Alle ruter'!$Z$3:$Z$98,"H2",'Alle ruter'!$J$3:$J$98,$A41,'Alle ruter'!$AJ$3:$AJ$98,"&lt;="&amp;G$2)/2</f>
        <v>0</v>
      </c>
      <c r="H41" s="3">
        <f>SUMIFS('Alle ruter'!$AC$3:$AC$98,'Alle ruter'!$Z$3:$Z$98,"H2",'Alle ruter'!$I$3:$I$98,$A41,'Alle ruter'!$AJ$3:$AJ$98,"&lt;="&amp;H$2)/2+SUMIFS('Alle ruter'!$AC$3:$AC$98,'Alle ruter'!$Z$3:$Z$98,"H2",'Alle ruter'!$J$3:$J$98,$A41,'Alle ruter'!$AJ$3:$AJ$98,"&lt;="&amp;H$2)/2</f>
        <v>0</v>
      </c>
      <c r="I41" s="3">
        <f>SUMIFS('Alle ruter'!$AC$3:$AC$98,'Alle ruter'!$Z$3:$Z$98,"H2",'Alle ruter'!$I$3:$I$98,$A41,'Alle ruter'!$AJ$3:$AJ$98,"&lt;="&amp;I$2)/2+SUMIFS('Alle ruter'!$AC$3:$AC$98,'Alle ruter'!$Z$3:$Z$98,"H2",'Alle ruter'!$J$3:$J$98,$A41,'Alle ruter'!$AJ$3:$AJ$98,"&lt;="&amp;I$2)/2</f>
        <v>0</v>
      </c>
      <c r="J41" s="3">
        <f>SUMIFS('Alle ruter'!$AC$3:$AC$98,'Alle ruter'!$Z$3:$Z$98,"H2",'Alle ruter'!$I$3:$I$98,$A41,'Alle ruter'!$AJ$3:$AJ$98,"&lt;="&amp;J$2)/2+SUMIFS('Alle ruter'!$AC$3:$AC$98,'Alle ruter'!$Z$3:$Z$98,"H2",'Alle ruter'!$J$3:$J$98,$A41,'Alle ruter'!$AJ$3:$AJ$98,"&lt;="&amp;J$2)/2</f>
        <v>0</v>
      </c>
      <c r="K41" s="3">
        <f>SUMIFS('Alle ruter'!$AC$3:$AC$98,'Alle ruter'!$Z$3:$Z$98,"H2",'Alle ruter'!$I$3:$I$98,$A41,'Alle ruter'!$AJ$3:$AJ$98,"&lt;="&amp;K$2)/2+SUMIFS('Alle ruter'!$AC$3:$AC$98,'Alle ruter'!$Z$3:$Z$98,"H2",'Alle ruter'!$J$3:$J$98,$A41,'Alle ruter'!$AJ$3:$AJ$98,"&lt;="&amp;K$2)/2</f>
        <v>0</v>
      </c>
      <c r="L41" s="3">
        <f>SUMIFS('Alle ruter'!$AC$3:$AC$98,'Alle ruter'!$Z$3:$Z$98,"H2",'Alle ruter'!$I$3:$I$98,$A41,'Alle ruter'!$AJ$3:$AJ$98,"&lt;="&amp;L$2)/2+SUMIFS('Alle ruter'!$AC$3:$AC$98,'Alle ruter'!$Z$3:$Z$98,"H2",'Alle ruter'!$J$3:$J$98,$A41,'Alle ruter'!$AJ$3:$AJ$98,"&lt;="&amp;L$2)/2</f>
        <v>0</v>
      </c>
      <c r="M41" s="3">
        <f>SUMIFS('Alle ruter'!$AC$3:$AC$98,'Alle ruter'!$Z$3:$Z$98,"H2",'Alle ruter'!$I$3:$I$98,$A41,'Alle ruter'!$AJ$3:$AJ$98,"&lt;="&amp;M$2)/2+SUMIFS('Alle ruter'!$AC$3:$AC$98,'Alle ruter'!$Z$3:$Z$98,"H2",'Alle ruter'!$J$3:$J$98,$A41,'Alle ruter'!$AJ$3:$AJ$98,"&lt;="&amp;M$2)/2</f>
        <v>66.747267671232876</v>
      </c>
      <c r="N41" s="3">
        <f>SUMIFS('Alle ruter'!$AC$3:$AC$98,'Alle ruter'!$Z$3:$Z$98,"H2",'Alle ruter'!$I$3:$I$98,$A41,'Alle ruter'!$AJ$3:$AJ$98,"&lt;="&amp;N$2)/2+SUMIFS('Alle ruter'!$AC$3:$AC$98,'Alle ruter'!$Z$3:$Z$98,"H2",'Alle ruter'!$J$3:$J$98,$A41,'Alle ruter'!$AJ$3:$AJ$98,"&lt;="&amp;N$2)/2</f>
        <v>66.747267671232876</v>
      </c>
      <c r="O41" s="3">
        <f>SUMIFS('Alle ruter'!$AC$3:$AC$98,'Alle ruter'!$Z$3:$Z$98,"H2",'Alle ruter'!$I$3:$I$98,$A41,'Alle ruter'!$AJ$3:$AJ$98,"&lt;="&amp;O$2)/2+SUMIFS('Alle ruter'!$AC$3:$AC$98,'Alle ruter'!$Z$3:$Z$98,"H2",'Alle ruter'!$J$3:$J$98,$A41,'Alle ruter'!$AJ$3:$AJ$98,"&lt;="&amp;O$2)/2</f>
        <v>66.747267671232876</v>
      </c>
      <c r="P41" s="3">
        <f>SUMIFS('Alle ruter'!$AC$3:$AC$98,'Alle ruter'!$Z$3:$Z$98,"H2",'Alle ruter'!$I$3:$I$98,$A41,'Alle ruter'!$AJ$3:$AJ$98,"&lt;="&amp;P$2)/2+SUMIFS('Alle ruter'!$AC$3:$AC$98,'Alle ruter'!$Z$3:$Z$98,"H2",'Alle ruter'!$J$3:$J$98,$A41,'Alle ruter'!$AJ$3:$AJ$98,"&lt;="&amp;P$2)/2</f>
        <v>66.747267671232876</v>
      </c>
      <c r="Q41" s="3">
        <f>SUMIFS('Alle ruter'!$AC$3:$AC$98,'Alle ruter'!$Z$3:$Z$98,"H2",'Alle ruter'!$I$3:$I$98,$A41,'Alle ruter'!$AJ$3:$AJ$98,"&lt;="&amp;Q$2)/2+SUMIFS('Alle ruter'!$AC$3:$AC$98,'Alle ruter'!$Z$3:$Z$98,"H2",'Alle ruter'!$J$3:$J$98,$A41,'Alle ruter'!$AJ$3:$AJ$98,"&lt;="&amp;Q$2)/2</f>
        <v>66.747267671232876</v>
      </c>
      <c r="R41" s="3">
        <f>SUMIFS('Alle ruter'!$AC$3:$AC$98,'Alle ruter'!$Z$3:$Z$98,"H2",'Alle ruter'!$I$3:$I$98,$A41,'Alle ruter'!$AJ$3:$AJ$98,"&lt;="&amp;R$2)/2+SUMIFS('Alle ruter'!$AC$3:$AC$98,'Alle ruter'!$Z$3:$Z$98,"H2",'Alle ruter'!$J$3:$J$98,$A41,'Alle ruter'!$AJ$3:$AJ$98,"&lt;="&amp;R$2)/2</f>
        <v>66.747267671232876</v>
      </c>
      <c r="S41" s="3">
        <f>SUMIFS('Alle ruter'!$AC$3:$AC$98,'Alle ruter'!$Z$3:$Z$98,"H2",'Alle ruter'!$I$3:$I$98,$A41,'Alle ruter'!$AJ$3:$AJ$98,"&lt;="&amp;S$2)/2+SUMIFS('Alle ruter'!$AC$3:$AC$98,'Alle ruter'!$Z$3:$Z$98,"H2",'Alle ruter'!$J$3:$J$98,$A41,'Alle ruter'!$AJ$3:$AJ$98,"&lt;="&amp;S$2)/2</f>
        <v>66.747267671232876</v>
      </c>
      <c r="T41" s="3"/>
    </row>
    <row r="42" spans="1:20" x14ac:dyDescent="0.3">
      <c r="A42" t="s">
        <v>133</v>
      </c>
      <c r="B42" t="s">
        <v>388</v>
      </c>
      <c r="C42" s="3">
        <f>COUNTIF('Alle ruter'!$I$3:$I$98,'H2 pr endeplass'!A43)+COUNTIFS('Alle ruter'!$J$3:$J$98,'H2 pr endeplass'!A43,'Alle ruter'!$K$3:$K$98,"Nei")</f>
        <v>1</v>
      </c>
      <c r="D42" s="3">
        <f>COUNTIFS('Alle ruter'!$I$3:$I$98,'H2 pr endeplass'!A43,'Alle ruter'!$Z$3:$Z$98,"H2")+COUNTIFS('Alle ruter'!$J$3:$J$98,'H2 pr endeplass'!A43,'Alle ruter'!$K$3:$K$98,"Nei",'Alle ruter'!$Z$3:$Z$98,"H2")</f>
        <v>1</v>
      </c>
      <c r="E42">
        <v>0</v>
      </c>
      <c r="F42" s="3">
        <f>SUMIFS('Alle ruter'!$AC$3:$AC$98,'Alle ruter'!$Z$3:$Z$98,"H2",'Alle ruter'!$I$3:$I$98,$A42,'Alle ruter'!$AJ$3:$AJ$98,"&lt;="&amp;F$2)/2+SUMIFS('Alle ruter'!$AC$3:$AC$98,'Alle ruter'!$Z$3:$Z$98,"H2",'Alle ruter'!$J$3:$J$98,$A42,'Alle ruter'!$AJ$3:$AJ$98,"&lt;="&amp;F$2)/2</f>
        <v>0</v>
      </c>
      <c r="G42" s="3">
        <f>SUMIFS('Alle ruter'!$AC$3:$AC$98,'Alle ruter'!$Z$3:$Z$98,"H2",'Alle ruter'!$I$3:$I$98,$A42,'Alle ruter'!$AJ$3:$AJ$98,"&lt;="&amp;G$2)/2+SUMIFS('Alle ruter'!$AC$3:$AC$98,'Alle ruter'!$Z$3:$Z$98,"H2",'Alle ruter'!$J$3:$J$98,$A42,'Alle ruter'!$AJ$3:$AJ$98,"&lt;="&amp;G$2)/2</f>
        <v>0</v>
      </c>
      <c r="H42" s="3">
        <f>SUMIFS('Alle ruter'!$AC$3:$AC$98,'Alle ruter'!$Z$3:$Z$98,"H2",'Alle ruter'!$I$3:$I$98,$A42,'Alle ruter'!$AJ$3:$AJ$98,"&lt;="&amp;H$2)/2+SUMIFS('Alle ruter'!$AC$3:$AC$98,'Alle ruter'!$Z$3:$Z$98,"H2",'Alle ruter'!$J$3:$J$98,$A42,'Alle ruter'!$AJ$3:$AJ$98,"&lt;="&amp;H$2)/2</f>
        <v>56.735177520547943</v>
      </c>
      <c r="I42" s="3">
        <f>SUMIFS('Alle ruter'!$AC$3:$AC$98,'Alle ruter'!$Z$3:$Z$98,"H2",'Alle ruter'!$I$3:$I$98,$A42,'Alle ruter'!$AJ$3:$AJ$98,"&lt;="&amp;I$2)/2+SUMIFS('Alle ruter'!$AC$3:$AC$98,'Alle ruter'!$Z$3:$Z$98,"H2",'Alle ruter'!$J$3:$J$98,$A42,'Alle ruter'!$AJ$3:$AJ$98,"&lt;="&amp;I$2)/2</f>
        <v>56.735177520547943</v>
      </c>
      <c r="J42" s="3">
        <f>SUMIFS('Alle ruter'!$AC$3:$AC$98,'Alle ruter'!$Z$3:$Z$98,"H2",'Alle ruter'!$I$3:$I$98,$A42,'Alle ruter'!$AJ$3:$AJ$98,"&lt;="&amp;J$2)/2+SUMIFS('Alle ruter'!$AC$3:$AC$98,'Alle ruter'!$Z$3:$Z$98,"H2",'Alle ruter'!$J$3:$J$98,$A42,'Alle ruter'!$AJ$3:$AJ$98,"&lt;="&amp;J$2)/2</f>
        <v>56.735177520547943</v>
      </c>
      <c r="K42" s="3">
        <f>SUMIFS('Alle ruter'!$AC$3:$AC$98,'Alle ruter'!$Z$3:$Z$98,"H2",'Alle ruter'!$I$3:$I$98,$A42,'Alle ruter'!$AJ$3:$AJ$98,"&lt;="&amp;K$2)/2+SUMIFS('Alle ruter'!$AC$3:$AC$98,'Alle ruter'!$Z$3:$Z$98,"H2",'Alle ruter'!$J$3:$J$98,$A42,'Alle ruter'!$AJ$3:$AJ$98,"&lt;="&amp;K$2)/2</f>
        <v>56.735177520547943</v>
      </c>
      <c r="L42" s="3">
        <f>SUMIFS('Alle ruter'!$AC$3:$AC$98,'Alle ruter'!$Z$3:$Z$98,"H2",'Alle ruter'!$I$3:$I$98,$A42,'Alle ruter'!$AJ$3:$AJ$98,"&lt;="&amp;L$2)/2+SUMIFS('Alle ruter'!$AC$3:$AC$98,'Alle ruter'!$Z$3:$Z$98,"H2",'Alle ruter'!$J$3:$J$98,$A42,'Alle ruter'!$AJ$3:$AJ$98,"&lt;="&amp;L$2)/2</f>
        <v>56.735177520547943</v>
      </c>
      <c r="M42" s="3">
        <f>SUMIFS('Alle ruter'!$AC$3:$AC$98,'Alle ruter'!$Z$3:$Z$98,"H2",'Alle ruter'!$I$3:$I$98,$A42,'Alle ruter'!$AJ$3:$AJ$98,"&lt;="&amp;M$2)/2+SUMIFS('Alle ruter'!$AC$3:$AC$98,'Alle ruter'!$Z$3:$Z$98,"H2",'Alle ruter'!$J$3:$J$98,$A42,'Alle ruter'!$AJ$3:$AJ$98,"&lt;="&amp;M$2)/2</f>
        <v>56.735177520547943</v>
      </c>
      <c r="N42" s="3">
        <f>SUMIFS('Alle ruter'!$AC$3:$AC$98,'Alle ruter'!$Z$3:$Z$98,"H2",'Alle ruter'!$I$3:$I$98,$A42,'Alle ruter'!$AJ$3:$AJ$98,"&lt;="&amp;N$2)/2+SUMIFS('Alle ruter'!$AC$3:$AC$98,'Alle ruter'!$Z$3:$Z$98,"H2",'Alle ruter'!$J$3:$J$98,$A42,'Alle ruter'!$AJ$3:$AJ$98,"&lt;="&amp;N$2)/2</f>
        <v>56.735177520547943</v>
      </c>
      <c r="O42" s="3">
        <f>SUMIFS('Alle ruter'!$AC$3:$AC$98,'Alle ruter'!$Z$3:$Z$98,"H2",'Alle ruter'!$I$3:$I$98,$A42,'Alle ruter'!$AJ$3:$AJ$98,"&lt;="&amp;O$2)/2+SUMIFS('Alle ruter'!$AC$3:$AC$98,'Alle ruter'!$Z$3:$Z$98,"H2",'Alle ruter'!$J$3:$J$98,$A42,'Alle ruter'!$AJ$3:$AJ$98,"&lt;="&amp;O$2)/2</f>
        <v>56.735177520547943</v>
      </c>
      <c r="P42" s="3">
        <f>SUMIFS('Alle ruter'!$AC$3:$AC$98,'Alle ruter'!$Z$3:$Z$98,"H2",'Alle ruter'!$I$3:$I$98,$A42,'Alle ruter'!$AJ$3:$AJ$98,"&lt;="&amp;P$2)/2+SUMIFS('Alle ruter'!$AC$3:$AC$98,'Alle ruter'!$Z$3:$Z$98,"H2",'Alle ruter'!$J$3:$J$98,$A42,'Alle ruter'!$AJ$3:$AJ$98,"&lt;="&amp;P$2)/2</f>
        <v>56.735177520547943</v>
      </c>
      <c r="Q42" s="3">
        <f>SUMIFS('Alle ruter'!$AC$3:$AC$98,'Alle ruter'!$Z$3:$Z$98,"H2",'Alle ruter'!$I$3:$I$98,$A42,'Alle ruter'!$AJ$3:$AJ$98,"&lt;="&amp;Q$2)/2+SUMIFS('Alle ruter'!$AC$3:$AC$98,'Alle ruter'!$Z$3:$Z$98,"H2",'Alle ruter'!$J$3:$J$98,$A42,'Alle ruter'!$AJ$3:$AJ$98,"&lt;="&amp;Q$2)/2</f>
        <v>56.735177520547943</v>
      </c>
      <c r="R42" s="3">
        <f>SUMIFS('Alle ruter'!$AC$3:$AC$98,'Alle ruter'!$Z$3:$Z$98,"H2",'Alle ruter'!$I$3:$I$98,$A42,'Alle ruter'!$AJ$3:$AJ$98,"&lt;="&amp;R$2)/2+SUMIFS('Alle ruter'!$AC$3:$AC$98,'Alle ruter'!$Z$3:$Z$98,"H2",'Alle ruter'!$J$3:$J$98,$A42,'Alle ruter'!$AJ$3:$AJ$98,"&lt;="&amp;R$2)/2</f>
        <v>56.735177520547943</v>
      </c>
      <c r="S42" s="3">
        <f>SUMIFS('Alle ruter'!$AC$3:$AC$98,'Alle ruter'!$Z$3:$Z$98,"H2",'Alle ruter'!$I$3:$I$98,$A42,'Alle ruter'!$AJ$3:$AJ$98,"&lt;="&amp;S$2)/2+SUMIFS('Alle ruter'!$AC$3:$AC$98,'Alle ruter'!$Z$3:$Z$98,"H2",'Alle ruter'!$J$3:$J$98,$A42,'Alle ruter'!$AJ$3:$AJ$98,"&lt;="&amp;S$2)/2</f>
        <v>56.735177520547943</v>
      </c>
      <c r="T42" s="3"/>
    </row>
    <row r="43" spans="1:20" x14ac:dyDescent="0.3">
      <c r="A43" t="s">
        <v>124</v>
      </c>
      <c r="B43" t="s">
        <v>388</v>
      </c>
      <c r="C43" s="3">
        <f>COUNTIF('Alle ruter'!$I$3:$I$98,'H2 pr endeplass'!A44)+COUNTIFS('Alle ruter'!$J$3:$J$98,'H2 pr endeplass'!A44,'Alle ruter'!$K$3:$K$98,"Nei")</f>
        <v>1</v>
      </c>
      <c r="D43" s="3">
        <f>COUNTIFS('Alle ruter'!$I$3:$I$98,'H2 pr endeplass'!A44,'Alle ruter'!$Z$3:$Z$98,"H2")+COUNTIFS('Alle ruter'!$J$3:$J$98,'H2 pr endeplass'!A44,'Alle ruter'!$K$3:$K$98,"Nei",'Alle ruter'!$Z$3:$Z$98,"H2")</f>
        <v>1</v>
      </c>
      <c r="E43">
        <v>0</v>
      </c>
      <c r="F43" s="3">
        <f>SUMIFS('Alle ruter'!$AC$3:$AC$98,'Alle ruter'!$Z$3:$Z$98,"H2",'Alle ruter'!$I$3:$I$98,$A43,'Alle ruter'!$AJ$3:$AJ$98,"&lt;="&amp;F$2)/2+SUMIFS('Alle ruter'!$AC$3:$AC$98,'Alle ruter'!$Z$3:$Z$98,"H2",'Alle ruter'!$J$3:$J$98,$A43,'Alle ruter'!$AJ$3:$AJ$98,"&lt;="&amp;F$2)/2</f>
        <v>0</v>
      </c>
      <c r="G43" s="3">
        <f>SUMIFS('Alle ruter'!$AC$3:$AC$98,'Alle ruter'!$Z$3:$Z$98,"H2",'Alle ruter'!$I$3:$I$98,$A43,'Alle ruter'!$AJ$3:$AJ$98,"&lt;="&amp;G$2)/2+SUMIFS('Alle ruter'!$AC$3:$AC$98,'Alle ruter'!$Z$3:$Z$98,"H2",'Alle ruter'!$J$3:$J$98,$A43,'Alle ruter'!$AJ$3:$AJ$98,"&lt;="&amp;G$2)/2</f>
        <v>0</v>
      </c>
      <c r="H43" s="3">
        <f>SUMIFS('Alle ruter'!$AC$3:$AC$98,'Alle ruter'!$Z$3:$Z$98,"H2",'Alle ruter'!$I$3:$I$98,$A43,'Alle ruter'!$AJ$3:$AJ$98,"&lt;="&amp;H$2)/2+SUMIFS('Alle ruter'!$AC$3:$AC$98,'Alle ruter'!$Z$3:$Z$98,"H2",'Alle ruter'!$J$3:$J$98,$A43,'Alle ruter'!$AJ$3:$AJ$98,"&lt;="&amp;H$2)/2</f>
        <v>0</v>
      </c>
      <c r="I43" s="3">
        <f>SUMIFS('Alle ruter'!$AC$3:$AC$98,'Alle ruter'!$Z$3:$Z$98,"H2",'Alle ruter'!$I$3:$I$98,$A43,'Alle ruter'!$AJ$3:$AJ$98,"&lt;="&amp;I$2)/2+SUMIFS('Alle ruter'!$AC$3:$AC$98,'Alle ruter'!$Z$3:$Z$98,"H2",'Alle ruter'!$J$3:$J$98,$A43,'Alle ruter'!$AJ$3:$AJ$98,"&lt;="&amp;I$2)/2</f>
        <v>0</v>
      </c>
      <c r="J43" s="3">
        <f>SUMIFS('Alle ruter'!$AC$3:$AC$98,'Alle ruter'!$Z$3:$Z$98,"H2",'Alle ruter'!$I$3:$I$98,$A43,'Alle ruter'!$AJ$3:$AJ$98,"&lt;="&amp;J$2)/2+SUMIFS('Alle ruter'!$AC$3:$AC$98,'Alle ruter'!$Z$3:$Z$98,"H2",'Alle ruter'!$J$3:$J$98,$A43,'Alle ruter'!$AJ$3:$AJ$98,"&lt;="&amp;J$2)/2</f>
        <v>0</v>
      </c>
      <c r="K43" s="3">
        <f>SUMIFS('Alle ruter'!$AC$3:$AC$98,'Alle ruter'!$Z$3:$Z$98,"H2",'Alle ruter'!$I$3:$I$98,$A43,'Alle ruter'!$AJ$3:$AJ$98,"&lt;="&amp;K$2)/2+SUMIFS('Alle ruter'!$AC$3:$AC$98,'Alle ruter'!$Z$3:$Z$98,"H2",'Alle ruter'!$J$3:$J$98,$A43,'Alle ruter'!$AJ$3:$AJ$98,"&lt;="&amp;K$2)/2</f>
        <v>45.228511741704729</v>
      </c>
      <c r="L43" s="3">
        <f>SUMIFS('Alle ruter'!$AC$3:$AC$98,'Alle ruter'!$Z$3:$Z$98,"H2",'Alle ruter'!$I$3:$I$98,$A43,'Alle ruter'!$AJ$3:$AJ$98,"&lt;="&amp;L$2)/2+SUMIFS('Alle ruter'!$AC$3:$AC$98,'Alle ruter'!$Z$3:$Z$98,"H2",'Alle ruter'!$J$3:$J$98,$A43,'Alle ruter'!$AJ$3:$AJ$98,"&lt;="&amp;L$2)/2</f>
        <v>45.228511741704729</v>
      </c>
      <c r="M43" s="3">
        <f>SUMIFS('Alle ruter'!$AC$3:$AC$98,'Alle ruter'!$Z$3:$Z$98,"H2",'Alle ruter'!$I$3:$I$98,$A43,'Alle ruter'!$AJ$3:$AJ$98,"&lt;="&amp;M$2)/2+SUMIFS('Alle ruter'!$AC$3:$AC$98,'Alle ruter'!$Z$3:$Z$98,"H2",'Alle ruter'!$J$3:$J$98,$A43,'Alle ruter'!$AJ$3:$AJ$98,"&lt;="&amp;M$2)/2</f>
        <v>45.228511741704729</v>
      </c>
      <c r="N43" s="3">
        <f>SUMIFS('Alle ruter'!$AC$3:$AC$98,'Alle ruter'!$Z$3:$Z$98,"H2",'Alle ruter'!$I$3:$I$98,$A43,'Alle ruter'!$AJ$3:$AJ$98,"&lt;="&amp;N$2)/2+SUMIFS('Alle ruter'!$AC$3:$AC$98,'Alle ruter'!$Z$3:$Z$98,"H2",'Alle ruter'!$J$3:$J$98,$A43,'Alle ruter'!$AJ$3:$AJ$98,"&lt;="&amp;N$2)/2</f>
        <v>45.228511741704729</v>
      </c>
      <c r="O43" s="3">
        <f>SUMIFS('Alle ruter'!$AC$3:$AC$98,'Alle ruter'!$Z$3:$Z$98,"H2",'Alle ruter'!$I$3:$I$98,$A43,'Alle ruter'!$AJ$3:$AJ$98,"&lt;="&amp;O$2)/2+SUMIFS('Alle ruter'!$AC$3:$AC$98,'Alle ruter'!$Z$3:$Z$98,"H2",'Alle ruter'!$J$3:$J$98,$A43,'Alle ruter'!$AJ$3:$AJ$98,"&lt;="&amp;O$2)/2</f>
        <v>45.228511741704729</v>
      </c>
      <c r="P43" s="3">
        <f>SUMIFS('Alle ruter'!$AC$3:$AC$98,'Alle ruter'!$Z$3:$Z$98,"H2",'Alle ruter'!$I$3:$I$98,$A43,'Alle ruter'!$AJ$3:$AJ$98,"&lt;="&amp;P$2)/2+SUMIFS('Alle ruter'!$AC$3:$AC$98,'Alle ruter'!$Z$3:$Z$98,"H2",'Alle ruter'!$J$3:$J$98,$A43,'Alle ruter'!$AJ$3:$AJ$98,"&lt;="&amp;P$2)/2</f>
        <v>45.228511741704729</v>
      </c>
      <c r="Q43" s="3">
        <f>SUMIFS('Alle ruter'!$AC$3:$AC$98,'Alle ruter'!$Z$3:$Z$98,"H2",'Alle ruter'!$I$3:$I$98,$A43,'Alle ruter'!$AJ$3:$AJ$98,"&lt;="&amp;Q$2)/2+SUMIFS('Alle ruter'!$AC$3:$AC$98,'Alle ruter'!$Z$3:$Z$98,"H2",'Alle ruter'!$J$3:$J$98,$A43,'Alle ruter'!$AJ$3:$AJ$98,"&lt;="&amp;Q$2)/2</f>
        <v>45.228511741704729</v>
      </c>
      <c r="R43" s="3">
        <f>SUMIFS('Alle ruter'!$AC$3:$AC$98,'Alle ruter'!$Z$3:$Z$98,"H2",'Alle ruter'!$I$3:$I$98,$A43,'Alle ruter'!$AJ$3:$AJ$98,"&lt;="&amp;R$2)/2+SUMIFS('Alle ruter'!$AC$3:$AC$98,'Alle ruter'!$Z$3:$Z$98,"H2",'Alle ruter'!$J$3:$J$98,$A43,'Alle ruter'!$AJ$3:$AJ$98,"&lt;="&amp;R$2)/2</f>
        <v>45.228511741704729</v>
      </c>
      <c r="S43" s="3">
        <f>SUMIFS('Alle ruter'!$AC$3:$AC$98,'Alle ruter'!$Z$3:$Z$98,"H2",'Alle ruter'!$I$3:$I$98,$A43,'Alle ruter'!$AJ$3:$AJ$98,"&lt;="&amp;S$2)/2+SUMIFS('Alle ruter'!$AC$3:$AC$98,'Alle ruter'!$Z$3:$Z$98,"H2",'Alle ruter'!$J$3:$J$98,$A43,'Alle ruter'!$AJ$3:$AJ$98,"&lt;="&amp;S$2)/2</f>
        <v>45.228511741704729</v>
      </c>
      <c r="T43" s="3"/>
    </row>
    <row r="44" spans="1:20" x14ac:dyDescent="0.3">
      <c r="A44" t="s">
        <v>125</v>
      </c>
      <c r="B44" t="s">
        <v>388</v>
      </c>
      <c r="C44" s="3">
        <f>COUNTIF('Alle ruter'!$I$3:$I$98,'H2 pr endeplass'!A45)+COUNTIFS('Alle ruter'!$J$3:$J$98,'H2 pr endeplass'!A45,'Alle ruter'!$K$3:$K$98,"Nei")</f>
        <v>1</v>
      </c>
      <c r="D44" s="3">
        <f>COUNTIFS('Alle ruter'!$I$3:$I$98,'H2 pr endeplass'!A45,'Alle ruter'!$Z$3:$Z$98,"H2")+COUNTIFS('Alle ruter'!$J$3:$J$98,'H2 pr endeplass'!A45,'Alle ruter'!$K$3:$K$98,"Nei",'Alle ruter'!$Z$3:$Z$98,"H2")</f>
        <v>1</v>
      </c>
      <c r="E44">
        <v>0</v>
      </c>
      <c r="F44" s="3">
        <f>SUMIFS('Alle ruter'!$AC$3:$AC$98,'Alle ruter'!$Z$3:$Z$98,"H2",'Alle ruter'!$I$3:$I$98,$A44,'Alle ruter'!$AJ$3:$AJ$98,"&lt;="&amp;F$2)/2+SUMIFS('Alle ruter'!$AC$3:$AC$98,'Alle ruter'!$Z$3:$Z$98,"H2",'Alle ruter'!$J$3:$J$98,$A44,'Alle ruter'!$AJ$3:$AJ$98,"&lt;="&amp;F$2)/2</f>
        <v>0</v>
      </c>
      <c r="G44" s="3">
        <f>SUMIFS('Alle ruter'!$AC$3:$AC$98,'Alle ruter'!$Z$3:$Z$98,"H2",'Alle ruter'!$I$3:$I$98,$A44,'Alle ruter'!$AJ$3:$AJ$98,"&lt;="&amp;G$2)/2+SUMIFS('Alle ruter'!$AC$3:$AC$98,'Alle ruter'!$Z$3:$Z$98,"H2",'Alle ruter'!$J$3:$J$98,$A44,'Alle ruter'!$AJ$3:$AJ$98,"&lt;="&amp;G$2)/2</f>
        <v>0</v>
      </c>
      <c r="H44" s="3">
        <f>SUMIFS('Alle ruter'!$AC$3:$AC$98,'Alle ruter'!$Z$3:$Z$98,"H2",'Alle ruter'!$I$3:$I$98,$A44,'Alle ruter'!$AJ$3:$AJ$98,"&lt;="&amp;H$2)/2+SUMIFS('Alle ruter'!$AC$3:$AC$98,'Alle ruter'!$Z$3:$Z$98,"H2",'Alle ruter'!$J$3:$J$98,$A44,'Alle ruter'!$AJ$3:$AJ$98,"&lt;="&amp;H$2)/2</f>
        <v>0</v>
      </c>
      <c r="I44" s="3">
        <f>SUMIFS('Alle ruter'!$AC$3:$AC$98,'Alle ruter'!$Z$3:$Z$98,"H2",'Alle ruter'!$I$3:$I$98,$A44,'Alle ruter'!$AJ$3:$AJ$98,"&lt;="&amp;I$2)/2+SUMIFS('Alle ruter'!$AC$3:$AC$98,'Alle ruter'!$Z$3:$Z$98,"H2",'Alle ruter'!$J$3:$J$98,$A44,'Alle ruter'!$AJ$3:$AJ$98,"&lt;="&amp;I$2)/2</f>
        <v>0</v>
      </c>
      <c r="J44" s="3">
        <f>SUMIFS('Alle ruter'!$AC$3:$AC$98,'Alle ruter'!$Z$3:$Z$98,"H2",'Alle ruter'!$I$3:$I$98,$A44,'Alle ruter'!$AJ$3:$AJ$98,"&lt;="&amp;J$2)/2+SUMIFS('Alle ruter'!$AC$3:$AC$98,'Alle ruter'!$Z$3:$Z$98,"H2",'Alle ruter'!$J$3:$J$98,$A44,'Alle ruter'!$AJ$3:$AJ$98,"&lt;="&amp;J$2)/2</f>
        <v>0</v>
      </c>
      <c r="K44" s="3">
        <f>SUMIFS('Alle ruter'!$AC$3:$AC$98,'Alle ruter'!$Z$3:$Z$98,"H2",'Alle ruter'!$I$3:$I$98,$A44,'Alle ruter'!$AJ$3:$AJ$98,"&lt;="&amp;K$2)/2+SUMIFS('Alle ruter'!$AC$3:$AC$98,'Alle ruter'!$Z$3:$Z$98,"H2",'Alle ruter'!$J$3:$J$98,$A44,'Alle ruter'!$AJ$3:$AJ$98,"&lt;="&amp;K$2)/2</f>
        <v>45.228511741704729</v>
      </c>
      <c r="L44" s="3">
        <f>SUMIFS('Alle ruter'!$AC$3:$AC$98,'Alle ruter'!$Z$3:$Z$98,"H2",'Alle ruter'!$I$3:$I$98,$A44,'Alle ruter'!$AJ$3:$AJ$98,"&lt;="&amp;L$2)/2+SUMIFS('Alle ruter'!$AC$3:$AC$98,'Alle ruter'!$Z$3:$Z$98,"H2",'Alle ruter'!$J$3:$J$98,$A44,'Alle ruter'!$AJ$3:$AJ$98,"&lt;="&amp;L$2)/2</f>
        <v>45.228511741704729</v>
      </c>
      <c r="M44" s="3">
        <f>SUMIFS('Alle ruter'!$AC$3:$AC$98,'Alle ruter'!$Z$3:$Z$98,"H2",'Alle ruter'!$I$3:$I$98,$A44,'Alle ruter'!$AJ$3:$AJ$98,"&lt;="&amp;M$2)/2+SUMIFS('Alle ruter'!$AC$3:$AC$98,'Alle ruter'!$Z$3:$Z$98,"H2",'Alle ruter'!$J$3:$J$98,$A44,'Alle ruter'!$AJ$3:$AJ$98,"&lt;="&amp;M$2)/2</f>
        <v>45.228511741704729</v>
      </c>
      <c r="N44" s="3">
        <f>SUMIFS('Alle ruter'!$AC$3:$AC$98,'Alle ruter'!$Z$3:$Z$98,"H2",'Alle ruter'!$I$3:$I$98,$A44,'Alle ruter'!$AJ$3:$AJ$98,"&lt;="&amp;N$2)/2+SUMIFS('Alle ruter'!$AC$3:$AC$98,'Alle ruter'!$Z$3:$Z$98,"H2",'Alle ruter'!$J$3:$J$98,$A44,'Alle ruter'!$AJ$3:$AJ$98,"&lt;="&amp;N$2)/2</f>
        <v>45.228511741704729</v>
      </c>
      <c r="O44" s="3">
        <f>SUMIFS('Alle ruter'!$AC$3:$AC$98,'Alle ruter'!$Z$3:$Z$98,"H2",'Alle ruter'!$I$3:$I$98,$A44,'Alle ruter'!$AJ$3:$AJ$98,"&lt;="&amp;O$2)/2+SUMIFS('Alle ruter'!$AC$3:$AC$98,'Alle ruter'!$Z$3:$Z$98,"H2",'Alle ruter'!$J$3:$J$98,$A44,'Alle ruter'!$AJ$3:$AJ$98,"&lt;="&amp;O$2)/2</f>
        <v>45.228511741704729</v>
      </c>
      <c r="P44" s="3">
        <f>SUMIFS('Alle ruter'!$AC$3:$AC$98,'Alle ruter'!$Z$3:$Z$98,"H2",'Alle ruter'!$I$3:$I$98,$A44,'Alle ruter'!$AJ$3:$AJ$98,"&lt;="&amp;P$2)/2+SUMIFS('Alle ruter'!$AC$3:$AC$98,'Alle ruter'!$Z$3:$Z$98,"H2",'Alle ruter'!$J$3:$J$98,$A44,'Alle ruter'!$AJ$3:$AJ$98,"&lt;="&amp;P$2)/2</f>
        <v>45.228511741704729</v>
      </c>
      <c r="Q44" s="3">
        <f>SUMIFS('Alle ruter'!$AC$3:$AC$98,'Alle ruter'!$Z$3:$Z$98,"H2",'Alle ruter'!$I$3:$I$98,$A44,'Alle ruter'!$AJ$3:$AJ$98,"&lt;="&amp;Q$2)/2+SUMIFS('Alle ruter'!$AC$3:$AC$98,'Alle ruter'!$Z$3:$Z$98,"H2",'Alle ruter'!$J$3:$J$98,$A44,'Alle ruter'!$AJ$3:$AJ$98,"&lt;="&amp;Q$2)/2</f>
        <v>45.228511741704729</v>
      </c>
      <c r="R44" s="3">
        <f>SUMIFS('Alle ruter'!$AC$3:$AC$98,'Alle ruter'!$Z$3:$Z$98,"H2",'Alle ruter'!$I$3:$I$98,$A44,'Alle ruter'!$AJ$3:$AJ$98,"&lt;="&amp;R$2)/2+SUMIFS('Alle ruter'!$AC$3:$AC$98,'Alle ruter'!$Z$3:$Z$98,"H2",'Alle ruter'!$J$3:$J$98,$A44,'Alle ruter'!$AJ$3:$AJ$98,"&lt;="&amp;R$2)/2</f>
        <v>45.228511741704729</v>
      </c>
      <c r="S44" s="3">
        <f>SUMIFS('Alle ruter'!$AC$3:$AC$98,'Alle ruter'!$Z$3:$Z$98,"H2",'Alle ruter'!$I$3:$I$98,$A44,'Alle ruter'!$AJ$3:$AJ$98,"&lt;="&amp;S$2)/2+SUMIFS('Alle ruter'!$AC$3:$AC$98,'Alle ruter'!$Z$3:$Z$98,"H2",'Alle ruter'!$J$3:$J$98,$A44,'Alle ruter'!$AJ$3:$AJ$98,"&lt;="&amp;S$2)/2</f>
        <v>45.228511741704729</v>
      </c>
      <c r="T44" s="3"/>
    </row>
    <row r="45" spans="1:20" x14ac:dyDescent="0.3">
      <c r="A45" t="s">
        <v>147</v>
      </c>
      <c r="B45" t="s">
        <v>15</v>
      </c>
      <c r="C45" s="3">
        <f>COUNTIF('Alle ruter'!$I$3:$I$98,'H2 pr endeplass'!A47)+COUNTIFS('Alle ruter'!$J$3:$J$98,'H2 pr endeplass'!A47,'Alle ruter'!$K$3:$K$98,"Nei")</f>
        <v>1</v>
      </c>
      <c r="D45" s="3">
        <f>COUNTIFS('Alle ruter'!$I$3:$I$98,'H2 pr endeplass'!A47,'Alle ruter'!$Z$3:$Z$98,"H2")+COUNTIFS('Alle ruter'!$J$3:$J$98,'H2 pr endeplass'!A47,'Alle ruter'!$K$3:$K$98,"Nei",'Alle ruter'!$Z$3:$Z$98,"H2")</f>
        <v>0</v>
      </c>
      <c r="E45">
        <v>0</v>
      </c>
      <c r="F45" s="3">
        <f>SUMIFS('Alle ruter'!$AC$3:$AC$98,'Alle ruter'!$Z$3:$Z$98,"H2",'Alle ruter'!$I$3:$I$98,$A45,'Alle ruter'!$AJ$3:$AJ$98,"&lt;="&amp;F$2)/2+SUMIFS('Alle ruter'!$AC$3:$AC$98,'Alle ruter'!$Z$3:$Z$98,"H2",'Alle ruter'!$J$3:$J$98,$A45,'Alle ruter'!$AJ$3:$AJ$98,"&lt;="&amp;F$2)/2</f>
        <v>32.152511808523592</v>
      </c>
      <c r="G45" s="3">
        <f>SUMIFS('Alle ruter'!$AC$3:$AC$98,'Alle ruter'!$Z$3:$Z$98,"H2",'Alle ruter'!$I$3:$I$98,$A45,'Alle ruter'!$AJ$3:$AJ$98,"&lt;="&amp;G$2)/2+SUMIFS('Alle ruter'!$AC$3:$AC$98,'Alle ruter'!$Z$3:$Z$98,"H2",'Alle ruter'!$J$3:$J$98,$A45,'Alle ruter'!$AJ$3:$AJ$98,"&lt;="&amp;G$2)/2</f>
        <v>32.152511808523592</v>
      </c>
      <c r="H45" s="3">
        <f>SUMIFS('Alle ruter'!$AC$3:$AC$98,'Alle ruter'!$Z$3:$Z$98,"H2",'Alle ruter'!$I$3:$I$98,$A45,'Alle ruter'!$AJ$3:$AJ$98,"&lt;="&amp;H$2)/2+SUMIFS('Alle ruter'!$AC$3:$AC$98,'Alle ruter'!$Z$3:$Z$98,"H2",'Alle ruter'!$J$3:$J$98,$A45,'Alle ruter'!$AJ$3:$AJ$98,"&lt;="&amp;H$2)/2</f>
        <v>32.152511808523592</v>
      </c>
      <c r="I45" s="3">
        <f>SUMIFS('Alle ruter'!$AC$3:$AC$98,'Alle ruter'!$Z$3:$Z$98,"H2",'Alle ruter'!$I$3:$I$98,$A45,'Alle ruter'!$AJ$3:$AJ$98,"&lt;="&amp;I$2)/2+SUMIFS('Alle ruter'!$AC$3:$AC$98,'Alle ruter'!$Z$3:$Z$98,"H2",'Alle ruter'!$J$3:$J$98,$A45,'Alle ruter'!$AJ$3:$AJ$98,"&lt;="&amp;I$2)/2</f>
        <v>32.152511808523592</v>
      </c>
      <c r="J45" s="3">
        <f>SUMIFS('Alle ruter'!$AC$3:$AC$98,'Alle ruter'!$Z$3:$Z$98,"H2",'Alle ruter'!$I$3:$I$98,$A45,'Alle ruter'!$AJ$3:$AJ$98,"&lt;="&amp;J$2)/2+SUMIFS('Alle ruter'!$AC$3:$AC$98,'Alle ruter'!$Z$3:$Z$98,"H2",'Alle ruter'!$J$3:$J$98,$A45,'Alle ruter'!$AJ$3:$AJ$98,"&lt;="&amp;J$2)/2</f>
        <v>32.152511808523592</v>
      </c>
      <c r="K45" s="3">
        <f>SUMIFS('Alle ruter'!$AC$3:$AC$98,'Alle ruter'!$Z$3:$Z$98,"H2",'Alle ruter'!$I$3:$I$98,$A45,'Alle ruter'!$AJ$3:$AJ$98,"&lt;="&amp;K$2)/2+SUMIFS('Alle ruter'!$AC$3:$AC$98,'Alle ruter'!$Z$3:$Z$98,"H2",'Alle ruter'!$J$3:$J$98,$A45,'Alle ruter'!$AJ$3:$AJ$98,"&lt;="&amp;K$2)/2</f>
        <v>32.152511808523592</v>
      </c>
      <c r="L45" s="3">
        <f>SUMIFS('Alle ruter'!$AC$3:$AC$98,'Alle ruter'!$Z$3:$Z$98,"H2",'Alle ruter'!$I$3:$I$98,$A45,'Alle ruter'!$AJ$3:$AJ$98,"&lt;="&amp;L$2)/2+SUMIFS('Alle ruter'!$AC$3:$AC$98,'Alle ruter'!$Z$3:$Z$98,"H2",'Alle ruter'!$J$3:$J$98,$A45,'Alle ruter'!$AJ$3:$AJ$98,"&lt;="&amp;L$2)/2</f>
        <v>32.152511808523592</v>
      </c>
      <c r="M45" s="3">
        <f>SUMIFS('Alle ruter'!$AC$3:$AC$98,'Alle ruter'!$Z$3:$Z$98,"H2",'Alle ruter'!$I$3:$I$98,$A45,'Alle ruter'!$AJ$3:$AJ$98,"&lt;="&amp;M$2)/2+SUMIFS('Alle ruter'!$AC$3:$AC$98,'Alle ruter'!$Z$3:$Z$98,"H2",'Alle ruter'!$J$3:$J$98,$A45,'Alle ruter'!$AJ$3:$AJ$98,"&lt;="&amp;M$2)/2</f>
        <v>32.152511808523592</v>
      </c>
      <c r="N45" s="3">
        <f>SUMIFS('Alle ruter'!$AC$3:$AC$98,'Alle ruter'!$Z$3:$Z$98,"H2",'Alle ruter'!$I$3:$I$98,$A45,'Alle ruter'!$AJ$3:$AJ$98,"&lt;="&amp;N$2)/2+SUMIFS('Alle ruter'!$AC$3:$AC$98,'Alle ruter'!$Z$3:$Z$98,"H2",'Alle ruter'!$J$3:$J$98,$A45,'Alle ruter'!$AJ$3:$AJ$98,"&lt;="&amp;N$2)/2</f>
        <v>32.152511808523592</v>
      </c>
      <c r="O45" s="3">
        <f>SUMIFS('Alle ruter'!$AC$3:$AC$98,'Alle ruter'!$Z$3:$Z$98,"H2",'Alle ruter'!$I$3:$I$98,$A45,'Alle ruter'!$AJ$3:$AJ$98,"&lt;="&amp;O$2)/2+SUMIFS('Alle ruter'!$AC$3:$AC$98,'Alle ruter'!$Z$3:$Z$98,"H2",'Alle ruter'!$J$3:$J$98,$A45,'Alle ruter'!$AJ$3:$AJ$98,"&lt;="&amp;O$2)/2</f>
        <v>32.152511808523592</v>
      </c>
      <c r="P45" s="3">
        <f>SUMIFS('Alle ruter'!$AC$3:$AC$98,'Alle ruter'!$Z$3:$Z$98,"H2",'Alle ruter'!$I$3:$I$98,$A45,'Alle ruter'!$AJ$3:$AJ$98,"&lt;="&amp;P$2)/2+SUMIFS('Alle ruter'!$AC$3:$AC$98,'Alle ruter'!$Z$3:$Z$98,"H2",'Alle ruter'!$J$3:$J$98,$A45,'Alle ruter'!$AJ$3:$AJ$98,"&lt;="&amp;P$2)/2</f>
        <v>32.152511808523592</v>
      </c>
      <c r="Q45" s="3">
        <f>SUMIFS('Alle ruter'!$AC$3:$AC$98,'Alle ruter'!$Z$3:$Z$98,"H2",'Alle ruter'!$I$3:$I$98,$A45,'Alle ruter'!$AJ$3:$AJ$98,"&lt;="&amp;Q$2)/2+SUMIFS('Alle ruter'!$AC$3:$AC$98,'Alle ruter'!$Z$3:$Z$98,"H2",'Alle ruter'!$J$3:$J$98,$A45,'Alle ruter'!$AJ$3:$AJ$98,"&lt;="&amp;Q$2)/2</f>
        <v>32.152511808523592</v>
      </c>
      <c r="R45" s="3">
        <f>SUMIFS('Alle ruter'!$AC$3:$AC$98,'Alle ruter'!$Z$3:$Z$98,"H2",'Alle ruter'!$I$3:$I$98,$A45,'Alle ruter'!$AJ$3:$AJ$98,"&lt;="&amp;R$2)/2+SUMIFS('Alle ruter'!$AC$3:$AC$98,'Alle ruter'!$Z$3:$Z$98,"H2",'Alle ruter'!$J$3:$J$98,$A45,'Alle ruter'!$AJ$3:$AJ$98,"&lt;="&amp;R$2)/2</f>
        <v>32.152511808523592</v>
      </c>
      <c r="S45" s="3">
        <f>SUMIFS('Alle ruter'!$AC$3:$AC$98,'Alle ruter'!$Z$3:$Z$98,"H2",'Alle ruter'!$I$3:$I$98,$A45,'Alle ruter'!$AJ$3:$AJ$98,"&lt;="&amp;S$2)/2+SUMIFS('Alle ruter'!$AC$3:$AC$98,'Alle ruter'!$Z$3:$Z$98,"H2",'Alle ruter'!$J$3:$J$98,$A45,'Alle ruter'!$AJ$3:$AJ$98,"&lt;="&amp;S$2)/2</f>
        <v>32.152511808523592</v>
      </c>
      <c r="T45" s="3"/>
    </row>
    <row r="46" spans="1:20" x14ac:dyDescent="0.3">
      <c r="A46" t="s">
        <v>148</v>
      </c>
      <c r="B46" t="s">
        <v>15</v>
      </c>
      <c r="C46" s="3">
        <f>COUNTIF('Alle ruter'!$I$3:$I$98,'H2 pr endeplass'!A48)+COUNTIFS('Alle ruter'!$J$3:$J$98,'H2 pr endeplass'!A48,'Alle ruter'!$K$3:$K$98,"Nei")</f>
        <v>1</v>
      </c>
      <c r="D46" s="3">
        <f>COUNTIFS('Alle ruter'!$I$3:$I$98,'H2 pr endeplass'!A48,'Alle ruter'!$Z$3:$Z$98,"H2")+COUNTIFS('Alle ruter'!$J$3:$J$98,'H2 pr endeplass'!A48,'Alle ruter'!$K$3:$K$98,"Nei",'Alle ruter'!$Z$3:$Z$98,"H2")</f>
        <v>0</v>
      </c>
      <c r="E46">
        <v>0</v>
      </c>
      <c r="F46" s="3">
        <f>SUMIFS('Alle ruter'!$AC$3:$AC$98,'Alle ruter'!$Z$3:$Z$98,"H2",'Alle ruter'!$I$3:$I$98,$A46,'Alle ruter'!$AJ$3:$AJ$98,"&lt;="&amp;F$2)/2+SUMIFS('Alle ruter'!$AC$3:$AC$98,'Alle ruter'!$Z$3:$Z$98,"H2",'Alle ruter'!$J$3:$J$98,$A46,'Alle ruter'!$AJ$3:$AJ$98,"&lt;="&amp;F$2)/2</f>
        <v>32.152511808523592</v>
      </c>
      <c r="G46" s="3">
        <f>SUMIFS('Alle ruter'!$AC$3:$AC$98,'Alle ruter'!$Z$3:$Z$98,"H2",'Alle ruter'!$I$3:$I$98,$A46,'Alle ruter'!$AJ$3:$AJ$98,"&lt;="&amp;G$2)/2+SUMIFS('Alle ruter'!$AC$3:$AC$98,'Alle ruter'!$Z$3:$Z$98,"H2",'Alle ruter'!$J$3:$J$98,$A46,'Alle ruter'!$AJ$3:$AJ$98,"&lt;="&amp;G$2)/2</f>
        <v>32.152511808523592</v>
      </c>
      <c r="H46" s="3">
        <f>SUMIFS('Alle ruter'!$AC$3:$AC$98,'Alle ruter'!$Z$3:$Z$98,"H2",'Alle ruter'!$I$3:$I$98,$A46,'Alle ruter'!$AJ$3:$AJ$98,"&lt;="&amp;H$2)/2+SUMIFS('Alle ruter'!$AC$3:$AC$98,'Alle ruter'!$Z$3:$Z$98,"H2",'Alle ruter'!$J$3:$J$98,$A46,'Alle ruter'!$AJ$3:$AJ$98,"&lt;="&amp;H$2)/2</f>
        <v>32.152511808523592</v>
      </c>
      <c r="I46" s="3">
        <f>SUMIFS('Alle ruter'!$AC$3:$AC$98,'Alle ruter'!$Z$3:$Z$98,"H2",'Alle ruter'!$I$3:$I$98,$A46,'Alle ruter'!$AJ$3:$AJ$98,"&lt;="&amp;I$2)/2+SUMIFS('Alle ruter'!$AC$3:$AC$98,'Alle ruter'!$Z$3:$Z$98,"H2",'Alle ruter'!$J$3:$J$98,$A46,'Alle ruter'!$AJ$3:$AJ$98,"&lt;="&amp;I$2)/2</f>
        <v>32.152511808523592</v>
      </c>
      <c r="J46" s="3">
        <f>SUMIFS('Alle ruter'!$AC$3:$AC$98,'Alle ruter'!$Z$3:$Z$98,"H2",'Alle ruter'!$I$3:$I$98,$A46,'Alle ruter'!$AJ$3:$AJ$98,"&lt;="&amp;J$2)/2+SUMIFS('Alle ruter'!$AC$3:$AC$98,'Alle ruter'!$Z$3:$Z$98,"H2",'Alle ruter'!$J$3:$J$98,$A46,'Alle ruter'!$AJ$3:$AJ$98,"&lt;="&amp;J$2)/2</f>
        <v>32.152511808523592</v>
      </c>
      <c r="K46" s="3">
        <f>SUMIFS('Alle ruter'!$AC$3:$AC$98,'Alle ruter'!$Z$3:$Z$98,"H2",'Alle ruter'!$I$3:$I$98,$A46,'Alle ruter'!$AJ$3:$AJ$98,"&lt;="&amp;K$2)/2+SUMIFS('Alle ruter'!$AC$3:$AC$98,'Alle ruter'!$Z$3:$Z$98,"H2",'Alle ruter'!$J$3:$J$98,$A46,'Alle ruter'!$AJ$3:$AJ$98,"&lt;="&amp;K$2)/2</f>
        <v>32.152511808523592</v>
      </c>
      <c r="L46" s="3">
        <f>SUMIFS('Alle ruter'!$AC$3:$AC$98,'Alle ruter'!$Z$3:$Z$98,"H2",'Alle ruter'!$I$3:$I$98,$A46,'Alle ruter'!$AJ$3:$AJ$98,"&lt;="&amp;L$2)/2+SUMIFS('Alle ruter'!$AC$3:$AC$98,'Alle ruter'!$Z$3:$Z$98,"H2",'Alle ruter'!$J$3:$J$98,$A46,'Alle ruter'!$AJ$3:$AJ$98,"&lt;="&amp;L$2)/2</f>
        <v>32.152511808523592</v>
      </c>
      <c r="M46" s="3">
        <f>SUMIFS('Alle ruter'!$AC$3:$AC$98,'Alle ruter'!$Z$3:$Z$98,"H2",'Alle ruter'!$I$3:$I$98,$A46,'Alle ruter'!$AJ$3:$AJ$98,"&lt;="&amp;M$2)/2+SUMIFS('Alle ruter'!$AC$3:$AC$98,'Alle ruter'!$Z$3:$Z$98,"H2",'Alle ruter'!$J$3:$J$98,$A46,'Alle ruter'!$AJ$3:$AJ$98,"&lt;="&amp;M$2)/2</f>
        <v>32.152511808523592</v>
      </c>
      <c r="N46" s="3">
        <f>SUMIFS('Alle ruter'!$AC$3:$AC$98,'Alle ruter'!$Z$3:$Z$98,"H2",'Alle ruter'!$I$3:$I$98,$A46,'Alle ruter'!$AJ$3:$AJ$98,"&lt;="&amp;N$2)/2+SUMIFS('Alle ruter'!$AC$3:$AC$98,'Alle ruter'!$Z$3:$Z$98,"H2",'Alle ruter'!$J$3:$J$98,$A46,'Alle ruter'!$AJ$3:$AJ$98,"&lt;="&amp;N$2)/2</f>
        <v>32.152511808523592</v>
      </c>
      <c r="O46" s="3">
        <f>SUMIFS('Alle ruter'!$AC$3:$AC$98,'Alle ruter'!$Z$3:$Z$98,"H2",'Alle ruter'!$I$3:$I$98,$A46,'Alle ruter'!$AJ$3:$AJ$98,"&lt;="&amp;O$2)/2+SUMIFS('Alle ruter'!$AC$3:$AC$98,'Alle ruter'!$Z$3:$Z$98,"H2",'Alle ruter'!$J$3:$J$98,$A46,'Alle ruter'!$AJ$3:$AJ$98,"&lt;="&amp;O$2)/2</f>
        <v>32.152511808523592</v>
      </c>
      <c r="P46" s="3">
        <f>SUMIFS('Alle ruter'!$AC$3:$AC$98,'Alle ruter'!$Z$3:$Z$98,"H2",'Alle ruter'!$I$3:$I$98,$A46,'Alle ruter'!$AJ$3:$AJ$98,"&lt;="&amp;P$2)/2+SUMIFS('Alle ruter'!$AC$3:$AC$98,'Alle ruter'!$Z$3:$Z$98,"H2",'Alle ruter'!$J$3:$J$98,$A46,'Alle ruter'!$AJ$3:$AJ$98,"&lt;="&amp;P$2)/2</f>
        <v>32.152511808523592</v>
      </c>
      <c r="Q46" s="3">
        <f>SUMIFS('Alle ruter'!$AC$3:$AC$98,'Alle ruter'!$Z$3:$Z$98,"H2",'Alle ruter'!$I$3:$I$98,$A46,'Alle ruter'!$AJ$3:$AJ$98,"&lt;="&amp;Q$2)/2+SUMIFS('Alle ruter'!$AC$3:$AC$98,'Alle ruter'!$Z$3:$Z$98,"H2",'Alle ruter'!$J$3:$J$98,$A46,'Alle ruter'!$AJ$3:$AJ$98,"&lt;="&amp;Q$2)/2</f>
        <v>32.152511808523592</v>
      </c>
      <c r="R46" s="3">
        <f>SUMIFS('Alle ruter'!$AC$3:$AC$98,'Alle ruter'!$Z$3:$Z$98,"H2",'Alle ruter'!$I$3:$I$98,$A46,'Alle ruter'!$AJ$3:$AJ$98,"&lt;="&amp;R$2)/2+SUMIFS('Alle ruter'!$AC$3:$AC$98,'Alle ruter'!$Z$3:$Z$98,"H2",'Alle ruter'!$J$3:$J$98,$A46,'Alle ruter'!$AJ$3:$AJ$98,"&lt;="&amp;R$2)/2</f>
        <v>32.152511808523592</v>
      </c>
      <c r="S46" s="3">
        <f>SUMIFS('Alle ruter'!$AC$3:$AC$98,'Alle ruter'!$Z$3:$Z$98,"H2",'Alle ruter'!$I$3:$I$98,$A46,'Alle ruter'!$AJ$3:$AJ$98,"&lt;="&amp;S$2)/2+SUMIFS('Alle ruter'!$AC$3:$AC$98,'Alle ruter'!$Z$3:$Z$98,"H2",'Alle ruter'!$J$3:$J$98,$A46,'Alle ruter'!$AJ$3:$AJ$98,"&lt;="&amp;S$2)/2</f>
        <v>32.152511808523592</v>
      </c>
      <c r="T46" s="3"/>
    </row>
    <row r="47" spans="1:20" x14ac:dyDescent="0.3">
      <c r="A47" t="s">
        <v>168</v>
      </c>
      <c r="B47" t="s">
        <v>15</v>
      </c>
      <c r="C47" s="3">
        <f>COUNTIF('Alle ruter'!$I$3:$I$98,'H2 pr endeplass'!A39)+COUNTIFS('Alle ruter'!$J$3:$J$98,'H2 pr endeplass'!A39,'Alle ruter'!$K$3:$K$98,"Nei")</f>
        <v>2</v>
      </c>
      <c r="D47" s="3">
        <f>COUNTIFS('Alle ruter'!$I$3:$I$98,'H2 pr endeplass'!A39,'Alle ruter'!$Z$3:$Z$98,"H2")+COUNTIFS('Alle ruter'!$J$3:$J$98,'H2 pr endeplass'!A39,'Alle ruter'!$K$3:$K$98,"Nei",'Alle ruter'!$Z$3:$Z$98,"H2")</f>
        <v>1</v>
      </c>
      <c r="E47">
        <v>0</v>
      </c>
      <c r="F47" s="3">
        <f>SUMIFS('Alle ruter'!$AC$3:$AC$98,'Alle ruter'!$Z$3:$Z$98,"H2",'Alle ruter'!$I$3:$I$98,$A47,'Alle ruter'!$AJ$3:$AJ$98,"&lt;="&amp;F$2)/2+SUMIFS('Alle ruter'!$AC$3:$AC$98,'Alle ruter'!$Z$3:$Z$98,"H2",'Alle ruter'!$J$3:$J$98,$A47,'Alle ruter'!$AJ$3:$AJ$98,"&lt;="&amp;F$2)/2</f>
        <v>0</v>
      </c>
      <c r="G47" s="3">
        <f>SUMIFS('Alle ruter'!$AC$3:$AC$98,'Alle ruter'!$Z$3:$Z$98,"H2",'Alle ruter'!$I$3:$I$98,$A47,'Alle ruter'!$AJ$3:$AJ$98,"&lt;="&amp;G$2)/2+SUMIFS('Alle ruter'!$AC$3:$AC$98,'Alle ruter'!$Z$3:$Z$98,"H2",'Alle ruter'!$J$3:$J$98,$A47,'Alle ruter'!$AJ$3:$AJ$98,"&lt;="&amp;G$2)/2</f>
        <v>0</v>
      </c>
      <c r="H47" s="3">
        <f>SUMIFS('Alle ruter'!$AC$3:$AC$98,'Alle ruter'!$Z$3:$Z$98,"H2",'Alle ruter'!$I$3:$I$98,$A47,'Alle ruter'!$AJ$3:$AJ$98,"&lt;="&amp;H$2)/2+SUMIFS('Alle ruter'!$AC$3:$AC$98,'Alle ruter'!$Z$3:$Z$98,"H2",'Alle ruter'!$J$3:$J$98,$A47,'Alle ruter'!$AJ$3:$AJ$98,"&lt;="&amp;H$2)/2</f>
        <v>0</v>
      </c>
      <c r="I47" s="3">
        <f>SUMIFS('Alle ruter'!$AC$3:$AC$98,'Alle ruter'!$Z$3:$Z$98,"H2",'Alle ruter'!$I$3:$I$98,$A47,'Alle ruter'!$AJ$3:$AJ$98,"&lt;="&amp;I$2)/2+SUMIFS('Alle ruter'!$AC$3:$AC$98,'Alle ruter'!$Z$3:$Z$98,"H2",'Alle ruter'!$J$3:$J$98,$A47,'Alle ruter'!$AJ$3:$AJ$98,"&lt;="&amp;I$2)/2</f>
        <v>0</v>
      </c>
      <c r="J47" s="3">
        <f>SUMIFS('Alle ruter'!$AC$3:$AC$98,'Alle ruter'!$Z$3:$Z$98,"H2",'Alle ruter'!$I$3:$I$98,$A47,'Alle ruter'!$AJ$3:$AJ$98,"&lt;="&amp;J$2)/2+SUMIFS('Alle ruter'!$AC$3:$AC$98,'Alle ruter'!$Z$3:$Z$98,"H2",'Alle ruter'!$J$3:$J$98,$A47,'Alle ruter'!$AJ$3:$AJ$98,"&lt;="&amp;J$2)/2</f>
        <v>0</v>
      </c>
      <c r="K47" s="3">
        <f>SUMIFS('Alle ruter'!$AC$3:$AC$98,'Alle ruter'!$Z$3:$Z$98,"H2",'Alle ruter'!$I$3:$I$98,$A47,'Alle ruter'!$AJ$3:$AJ$98,"&lt;="&amp;K$2)/2+SUMIFS('Alle ruter'!$AC$3:$AC$98,'Alle ruter'!$Z$3:$Z$98,"H2",'Alle ruter'!$J$3:$J$98,$A47,'Alle ruter'!$AJ$3:$AJ$98,"&lt;="&amp;K$2)/2</f>
        <v>0</v>
      </c>
      <c r="L47" s="3">
        <f>SUMIFS('Alle ruter'!$AC$3:$AC$98,'Alle ruter'!$Z$3:$Z$98,"H2",'Alle ruter'!$I$3:$I$98,$A47,'Alle ruter'!$AJ$3:$AJ$98,"&lt;="&amp;L$2)/2+SUMIFS('Alle ruter'!$AC$3:$AC$98,'Alle ruter'!$Z$3:$Z$98,"H2",'Alle ruter'!$J$3:$J$98,$A47,'Alle ruter'!$AJ$3:$AJ$98,"&lt;="&amp;L$2)/2</f>
        <v>0</v>
      </c>
      <c r="M47" s="3">
        <f>SUMIFS('Alle ruter'!$AC$3:$AC$98,'Alle ruter'!$Z$3:$Z$98,"H2",'Alle ruter'!$I$3:$I$98,$A47,'Alle ruter'!$AJ$3:$AJ$98,"&lt;="&amp;M$2)/2+SUMIFS('Alle ruter'!$AC$3:$AC$98,'Alle ruter'!$Z$3:$Z$98,"H2",'Alle ruter'!$J$3:$J$98,$A47,'Alle ruter'!$AJ$3:$AJ$98,"&lt;="&amp;M$2)/2</f>
        <v>0</v>
      </c>
      <c r="N47" s="3">
        <f>SUMIFS('Alle ruter'!$AC$3:$AC$98,'Alle ruter'!$Z$3:$Z$98,"H2",'Alle ruter'!$I$3:$I$98,$A47,'Alle ruter'!$AJ$3:$AJ$98,"&lt;="&amp;N$2)/2+SUMIFS('Alle ruter'!$AC$3:$AC$98,'Alle ruter'!$Z$3:$Z$98,"H2",'Alle ruter'!$J$3:$J$98,$A47,'Alle ruter'!$AJ$3:$AJ$98,"&lt;="&amp;N$2)/2</f>
        <v>0</v>
      </c>
      <c r="O47" s="3">
        <f>SUMIFS('Alle ruter'!$AC$3:$AC$98,'Alle ruter'!$Z$3:$Z$98,"H2",'Alle ruter'!$I$3:$I$98,$A47,'Alle ruter'!$AJ$3:$AJ$98,"&lt;="&amp;O$2)/2+SUMIFS('Alle ruter'!$AC$3:$AC$98,'Alle ruter'!$Z$3:$Z$98,"H2",'Alle ruter'!$J$3:$J$98,$A47,'Alle ruter'!$AJ$3:$AJ$98,"&lt;="&amp;O$2)/2</f>
        <v>0</v>
      </c>
      <c r="P47" s="3">
        <f>SUMIFS('Alle ruter'!$AC$3:$AC$98,'Alle ruter'!$Z$3:$Z$98,"H2",'Alle ruter'!$I$3:$I$98,$A47,'Alle ruter'!$AJ$3:$AJ$98,"&lt;="&amp;P$2)/2+SUMIFS('Alle ruter'!$AC$3:$AC$98,'Alle ruter'!$Z$3:$Z$98,"H2",'Alle ruter'!$J$3:$J$98,$A47,'Alle ruter'!$AJ$3:$AJ$98,"&lt;="&amp;P$2)/2</f>
        <v>0</v>
      </c>
      <c r="Q47" s="3">
        <f>SUMIFS('Alle ruter'!$AC$3:$AC$98,'Alle ruter'!$Z$3:$Z$98,"H2",'Alle ruter'!$I$3:$I$98,$A47,'Alle ruter'!$AJ$3:$AJ$98,"&lt;="&amp;Q$2)/2+SUMIFS('Alle ruter'!$AC$3:$AC$98,'Alle ruter'!$Z$3:$Z$98,"H2",'Alle ruter'!$J$3:$J$98,$A47,'Alle ruter'!$AJ$3:$AJ$98,"&lt;="&amp;Q$2)/2</f>
        <v>0</v>
      </c>
      <c r="R47" s="3">
        <f>SUMIFS('Alle ruter'!$AC$3:$AC$98,'Alle ruter'!$Z$3:$Z$98,"H2",'Alle ruter'!$I$3:$I$98,$A47,'Alle ruter'!$AJ$3:$AJ$98,"&lt;="&amp;R$2)/2+SUMIFS('Alle ruter'!$AC$3:$AC$98,'Alle ruter'!$Z$3:$Z$98,"H2",'Alle ruter'!$J$3:$J$98,$A47,'Alle ruter'!$AJ$3:$AJ$98,"&lt;="&amp;R$2)/2</f>
        <v>0</v>
      </c>
      <c r="S47" s="3">
        <f>SUMIFS('Alle ruter'!$AC$3:$AC$98,'Alle ruter'!$Z$3:$Z$98,"H2",'Alle ruter'!$I$3:$I$98,$A47,'Alle ruter'!$AJ$3:$AJ$98,"&lt;="&amp;S$2)/2+SUMIFS('Alle ruter'!$AC$3:$AC$98,'Alle ruter'!$Z$3:$Z$98,"H2",'Alle ruter'!$J$3:$J$98,$A47,'Alle ruter'!$AJ$3:$AJ$98,"&lt;="&amp;S$2)/2</f>
        <v>0</v>
      </c>
      <c r="T47" s="3"/>
    </row>
    <row r="48" spans="1:20" x14ac:dyDescent="0.3">
      <c r="A48" t="s">
        <v>157</v>
      </c>
      <c r="B48" t="s">
        <v>388</v>
      </c>
      <c r="C48" s="3">
        <f>COUNTIF('Alle ruter'!$I$3:$I$98,'H2 pr endeplass'!A46)+COUNTIFS('Alle ruter'!$J$3:$J$98,'H2 pr endeplass'!A46,'Alle ruter'!$K$3:$K$98,"Nei")</f>
        <v>1</v>
      </c>
      <c r="D48" s="3">
        <f>COUNTIFS('Alle ruter'!$I$3:$I$98,'H2 pr endeplass'!A46,'Alle ruter'!$Z$3:$Z$98,"H2")+COUNTIFS('Alle ruter'!$J$3:$J$98,'H2 pr endeplass'!A46,'Alle ruter'!$K$3:$K$98,"Nei",'Alle ruter'!$Z$3:$Z$98,"H2")</f>
        <v>1</v>
      </c>
      <c r="E48">
        <v>0</v>
      </c>
      <c r="F48" s="3">
        <f>SUMIFS('Alle ruter'!$AC$3:$AC$98,'Alle ruter'!$Z$3:$Z$98,"H2",'Alle ruter'!$I$3:$I$98,$A48,'Alle ruter'!$AJ$3:$AJ$98,"&lt;="&amp;F$2)/2+SUMIFS('Alle ruter'!$AC$3:$AC$98,'Alle ruter'!$Z$3:$Z$98,"H2",'Alle ruter'!$J$3:$J$98,$A48,'Alle ruter'!$AJ$3:$AJ$98,"&lt;="&amp;F$2)/2</f>
        <v>0</v>
      </c>
      <c r="G48" s="3">
        <f>SUMIFS('Alle ruter'!$AC$3:$AC$98,'Alle ruter'!$Z$3:$Z$98,"H2",'Alle ruter'!$I$3:$I$98,$A48,'Alle ruter'!$AJ$3:$AJ$98,"&lt;="&amp;G$2)/2+SUMIFS('Alle ruter'!$AC$3:$AC$98,'Alle ruter'!$Z$3:$Z$98,"H2",'Alle ruter'!$J$3:$J$98,$A48,'Alle ruter'!$AJ$3:$AJ$98,"&lt;="&amp;G$2)/2</f>
        <v>0</v>
      </c>
      <c r="H48" s="3">
        <f>SUMIFS('Alle ruter'!$AC$3:$AC$98,'Alle ruter'!$Z$3:$Z$98,"H2",'Alle ruter'!$I$3:$I$98,$A48,'Alle ruter'!$AJ$3:$AJ$98,"&lt;="&amp;H$2)/2+SUMIFS('Alle ruter'!$AC$3:$AC$98,'Alle ruter'!$Z$3:$Z$98,"H2",'Alle ruter'!$J$3:$J$98,$A48,'Alle ruter'!$AJ$3:$AJ$98,"&lt;="&amp;H$2)/2</f>
        <v>0</v>
      </c>
      <c r="I48" s="3">
        <f>SUMIFS('Alle ruter'!$AC$3:$AC$98,'Alle ruter'!$Z$3:$Z$98,"H2",'Alle ruter'!$I$3:$I$98,$A48,'Alle ruter'!$AJ$3:$AJ$98,"&lt;="&amp;I$2)/2+SUMIFS('Alle ruter'!$AC$3:$AC$98,'Alle ruter'!$Z$3:$Z$98,"H2",'Alle ruter'!$J$3:$J$98,$A48,'Alle ruter'!$AJ$3:$AJ$98,"&lt;="&amp;I$2)/2</f>
        <v>0</v>
      </c>
      <c r="J48" s="3">
        <f>SUMIFS('Alle ruter'!$AC$3:$AC$98,'Alle ruter'!$Z$3:$Z$98,"H2",'Alle ruter'!$I$3:$I$98,$A48,'Alle ruter'!$AJ$3:$AJ$98,"&lt;="&amp;J$2)/2+SUMIFS('Alle ruter'!$AC$3:$AC$98,'Alle ruter'!$Z$3:$Z$98,"H2",'Alle ruter'!$J$3:$J$98,$A48,'Alle ruter'!$AJ$3:$AJ$98,"&lt;="&amp;J$2)/2</f>
        <v>0</v>
      </c>
      <c r="K48" s="3">
        <f>SUMIFS('Alle ruter'!$AC$3:$AC$98,'Alle ruter'!$Z$3:$Z$98,"H2",'Alle ruter'!$I$3:$I$98,$A48,'Alle ruter'!$AJ$3:$AJ$98,"&lt;="&amp;K$2)/2+SUMIFS('Alle ruter'!$AC$3:$AC$98,'Alle ruter'!$Z$3:$Z$98,"H2",'Alle ruter'!$J$3:$J$98,$A48,'Alle ruter'!$AJ$3:$AJ$98,"&lt;="&amp;K$2)/2</f>
        <v>0</v>
      </c>
      <c r="L48" s="3">
        <f>SUMIFS('Alle ruter'!$AC$3:$AC$98,'Alle ruter'!$Z$3:$Z$98,"H2",'Alle ruter'!$I$3:$I$98,$A48,'Alle ruter'!$AJ$3:$AJ$98,"&lt;="&amp;L$2)/2+SUMIFS('Alle ruter'!$AC$3:$AC$98,'Alle ruter'!$Z$3:$Z$98,"H2",'Alle ruter'!$J$3:$J$98,$A48,'Alle ruter'!$AJ$3:$AJ$98,"&lt;="&amp;L$2)/2</f>
        <v>0</v>
      </c>
      <c r="M48" s="3">
        <f>SUMIFS('Alle ruter'!$AC$3:$AC$98,'Alle ruter'!$Z$3:$Z$98,"H2",'Alle ruter'!$I$3:$I$98,$A48,'Alle ruter'!$AJ$3:$AJ$98,"&lt;="&amp;M$2)/2+SUMIFS('Alle ruter'!$AC$3:$AC$98,'Alle ruter'!$Z$3:$Z$98,"H2",'Alle ruter'!$J$3:$J$98,$A48,'Alle ruter'!$AJ$3:$AJ$98,"&lt;="&amp;M$2)/2</f>
        <v>0</v>
      </c>
      <c r="N48" s="3">
        <f>SUMIFS('Alle ruter'!$AC$3:$AC$98,'Alle ruter'!$Z$3:$Z$98,"H2",'Alle ruter'!$I$3:$I$98,$A48,'Alle ruter'!$AJ$3:$AJ$98,"&lt;="&amp;N$2)/2+SUMIFS('Alle ruter'!$AC$3:$AC$98,'Alle ruter'!$Z$3:$Z$98,"H2",'Alle ruter'!$J$3:$J$98,$A48,'Alle ruter'!$AJ$3:$AJ$98,"&lt;="&amp;N$2)/2</f>
        <v>0</v>
      </c>
      <c r="O48" s="3">
        <f>SUMIFS('Alle ruter'!$AC$3:$AC$98,'Alle ruter'!$Z$3:$Z$98,"H2",'Alle ruter'!$I$3:$I$98,$A48,'Alle ruter'!$AJ$3:$AJ$98,"&lt;="&amp;O$2)/2+SUMIFS('Alle ruter'!$AC$3:$AC$98,'Alle ruter'!$Z$3:$Z$98,"H2",'Alle ruter'!$J$3:$J$98,$A48,'Alle ruter'!$AJ$3:$AJ$98,"&lt;="&amp;O$2)/2</f>
        <v>0</v>
      </c>
      <c r="P48" s="3">
        <f>SUMIFS('Alle ruter'!$AC$3:$AC$98,'Alle ruter'!$Z$3:$Z$98,"H2",'Alle ruter'!$I$3:$I$98,$A48,'Alle ruter'!$AJ$3:$AJ$98,"&lt;="&amp;P$2)/2+SUMIFS('Alle ruter'!$AC$3:$AC$98,'Alle ruter'!$Z$3:$Z$98,"H2",'Alle ruter'!$J$3:$J$98,$A48,'Alle ruter'!$AJ$3:$AJ$98,"&lt;="&amp;P$2)/2</f>
        <v>0</v>
      </c>
      <c r="Q48" s="3">
        <f>SUMIFS('Alle ruter'!$AC$3:$AC$98,'Alle ruter'!$Z$3:$Z$98,"H2",'Alle ruter'!$I$3:$I$98,$A48,'Alle ruter'!$AJ$3:$AJ$98,"&lt;="&amp;Q$2)/2+SUMIFS('Alle ruter'!$AC$3:$AC$98,'Alle ruter'!$Z$3:$Z$98,"H2",'Alle ruter'!$J$3:$J$98,$A48,'Alle ruter'!$AJ$3:$AJ$98,"&lt;="&amp;Q$2)/2</f>
        <v>0</v>
      </c>
      <c r="R48" s="3">
        <f>SUMIFS('Alle ruter'!$AC$3:$AC$98,'Alle ruter'!$Z$3:$Z$98,"H2",'Alle ruter'!$I$3:$I$98,$A48,'Alle ruter'!$AJ$3:$AJ$98,"&lt;="&amp;R$2)/2+SUMIFS('Alle ruter'!$AC$3:$AC$98,'Alle ruter'!$Z$3:$Z$98,"H2",'Alle ruter'!$J$3:$J$98,$A48,'Alle ruter'!$AJ$3:$AJ$98,"&lt;="&amp;R$2)/2</f>
        <v>0</v>
      </c>
      <c r="S48" s="3">
        <f>SUMIFS('Alle ruter'!$AC$3:$AC$98,'Alle ruter'!$Z$3:$Z$98,"H2",'Alle ruter'!$I$3:$I$98,$A48,'Alle ruter'!$AJ$3:$AJ$98,"&lt;="&amp;S$2)/2+SUMIFS('Alle ruter'!$AC$3:$AC$98,'Alle ruter'!$Z$3:$Z$98,"H2",'Alle ruter'!$J$3:$J$98,$A48,'Alle ruter'!$AJ$3:$AJ$98,"&lt;="&amp;S$2)/2</f>
        <v>0</v>
      </c>
      <c r="T48" s="3"/>
    </row>
    <row r="49" spans="1:20" x14ac:dyDescent="0.3">
      <c r="A49" t="s">
        <v>116</v>
      </c>
      <c r="B49" t="s">
        <v>389</v>
      </c>
      <c r="C49" s="3">
        <f>COUNTIF('Alle ruter'!$I$3:$I$98,'H2 pr endeplass'!A49)+COUNTIFS('Alle ruter'!$J$3:$J$98,'H2 pr endeplass'!A49,'Alle ruter'!$K$3:$K$98,"Nei")</f>
        <v>2</v>
      </c>
      <c r="D49" s="3">
        <f>COUNTIFS('Alle ruter'!$I$3:$I$98,'H2 pr endeplass'!A49,'Alle ruter'!$Z$3:$Z$98,"H2")+COUNTIFS('Alle ruter'!$J$3:$J$98,'H2 pr endeplass'!A49,'Alle ruter'!$K$3:$K$98,"Nei",'Alle ruter'!$Z$3:$Z$98,"H2")</f>
        <v>2</v>
      </c>
      <c r="E49">
        <v>0</v>
      </c>
      <c r="F49" s="3">
        <f>SUMIFS('Alle ruter'!$AC$3:$AC$98,'Alle ruter'!$Z$3:$Z$98,"H2",'Alle ruter'!$I$3:$I$98,$A49,'Alle ruter'!$AJ$3:$AJ$98,"&lt;="&amp;F$2)/2+SUMIFS('Alle ruter'!$AC$3:$AC$98,'Alle ruter'!$Z$3:$Z$98,"H2",'Alle ruter'!$J$3:$J$98,$A49,'Alle ruter'!$AJ$3:$AJ$98,"&lt;="&amp;F$2)/2</f>
        <v>0</v>
      </c>
      <c r="G49" s="3">
        <f>SUMIFS('Alle ruter'!$AC$3:$AC$98,'Alle ruter'!$Z$3:$Z$98,"H2",'Alle ruter'!$I$3:$I$98,$A49,'Alle ruter'!$AJ$3:$AJ$98,"&lt;="&amp;G$2)/2+SUMIFS('Alle ruter'!$AC$3:$AC$98,'Alle ruter'!$Z$3:$Z$98,"H2",'Alle ruter'!$J$3:$J$98,$A49,'Alle ruter'!$AJ$3:$AJ$98,"&lt;="&amp;G$2)/2</f>
        <v>0</v>
      </c>
      <c r="H49" s="3">
        <f>SUMIFS('Alle ruter'!$AC$3:$AC$98,'Alle ruter'!$Z$3:$Z$98,"H2",'Alle ruter'!$I$3:$I$98,$A49,'Alle ruter'!$AJ$3:$AJ$98,"&lt;="&amp;H$2)/2+SUMIFS('Alle ruter'!$AC$3:$AC$98,'Alle ruter'!$Z$3:$Z$98,"H2",'Alle ruter'!$J$3:$J$98,$A49,'Alle ruter'!$AJ$3:$AJ$98,"&lt;="&amp;H$2)/2</f>
        <v>0</v>
      </c>
      <c r="I49" s="3">
        <f>SUMIFS('Alle ruter'!$AC$3:$AC$98,'Alle ruter'!$Z$3:$Z$98,"H2",'Alle ruter'!$I$3:$I$98,$A49,'Alle ruter'!$AJ$3:$AJ$98,"&lt;="&amp;I$2)/2+SUMIFS('Alle ruter'!$AC$3:$AC$98,'Alle ruter'!$Z$3:$Z$98,"H2",'Alle ruter'!$J$3:$J$98,$A49,'Alle ruter'!$AJ$3:$AJ$98,"&lt;="&amp;I$2)/2</f>
        <v>0</v>
      </c>
      <c r="J49" s="3">
        <f>SUMIFS('Alle ruter'!$AC$3:$AC$98,'Alle ruter'!$Z$3:$Z$98,"H2",'Alle ruter'!$I$3:$I$98,$A49,'Alle ruter'!$AJ$3:$AJ$98,"&lt;="&amp;J$2)/2+SUMIFS('Alle ruter'!$AC$3:$AC$98,'Alle ruter'!$Z$3:$Z$98,"H2",'Alle ruter'!$J$3:$J$98,$A49,'Alle ruter'!$AJ$3:$AJ$98,"&lt;="&amp;J$2)/2</f>
        <v>0</v>
      </c>
      <c r="K49" s="3">
        <f>SUMIFS('Alle ruter'!$AC$3:$AC$98,'Alle ruter'!$Z$3:$Z$98,"H2",'Alle ruter'!$I$3:$I$98,$A49,'Alle ruter'!$AJ$3:$AJ$98,"&lt;="&amp;K$2)/2+SUMIFS('Alle ruter'!$AC$3:$AC$98,'Alle ruter'!$Z$3:$Z$98,"H2",'Alle ruter'!$J$3:$J$98,$A49,'Alle ruter'!$AJ$3:$AJ$98,"&lt;="&amp;K$2)/2</f>
        <v>0</v>
      </c>
      <c r="L49" s="3">
        <f>SUMIFS('Alle ruter'!$AC$3:$AC$98,'Alle ruter'!$Z$3:$Z$98,"H2",'Alle ruter'!$I$3:$I$98,$A49,'Alle ruter'!$AJ$3:$AJ$98,"&lt;="&amp;L$2)/2+SUMIFS('Alle ruter'!$AC$3:$AC$98,'Alle ruter'!$Z$3:$Z$98,"H2",'Alle ruter'!$J$3:$J$98,$A49,'Alle ruter'!$AJ$3:$AJ$98,"&lt;="&amp;L$2)/2</f>
        <v>0</v>
      </c>
      <c r="M49" s="3">
        <f>SUMIFS('Alle ruter'!$AC$3:$AC$98,'Alle ruter'!$Z$3:$Z$98,"H2",'Alle ruter'!$I$3:$I$98,$A49,'Alle ruter'!$AJ$3:$AJ$98,"&lt;="&amp;M$2)/2+SUMIFS('Alle ruter'!$AC$3:$AC$98,'Alle ruter'!$Z$3:$Z$98,"H2",'Alle ruter'!$J$3:$J$98,$A49,'Alle ruter'!$AJ$3:$AJ$98,"&lt;="&amp;M$2)/2</f>
        <v>0</v>
      </c>
      <c r="N49" s="3">
        <f>SUMIFS('Alle ruter'!$AC$3:$AC$98,'Alle ruter'!$Z$3:$Z$98,"H2",'Alle ruter'!$I$3:$I$98,$A49,'Alle ruter'!$AJ$3:$AJ$98,"&lt;="&amp;N$2)/2+SUMIFS('Alle ruter'!$AC$3:$AC$98,'Alle ruter'!$Z$3:$Z$98,"H2",'Alle ruter'!$J$3:$J$98,$A49,'Alle ruter'!$AJ$3:$AJ$98,"&lt;="&amp;N$2)/2</f>
        <v>0</v>
      </c>
      <c r="O49" s="3">
        <f>SUMIFS('Alle ruter'!$AC$3:$AC$98,'Alle ruter'!$Z$3:$Z$98,"H2",'Alle ruter'!$I$3:$I$98,$A49,'Alle ruter'!$AJ$3:$AJ$98,"&lt;="&amp;O$2)/2+SUMIFS('Alle ruter'!$AC$3:$AC$98,'Alle ruter'!$Z$3:$Z$98,"H2",'Alle ruter'!$J$3:$J$98,$A49,'Alle ruter'!$AJ$3:$AJ$98,"&lt;="&amp;O$2)/2</f>
        <v>0</v>
      </c>
      <c r="P49" s="3">
        <f>SUMIFS('Alle ruter'!$AC$3:$AC$98,'Alle ruter'!$Z$3:$Z$98,"H2",'Alle ruter'!$I$3:$I$98,$A49,'Alle ruter'!$AJ$3:$AJ$98,"&lt;="&amp;P$2)/2+SUMIFS('Alle ruter'!$AC$3:$AC$98,'Alle ruter'!$Z$3:$Z$98,"H2",'Alle ruter'!$J$3:$J$98,$A49,'Alle ruter'!$AJ$3:$AJ$98,"&lt;="&amp;P$2)/2</f>
        <v>0</v>
      </c>
      <c r="Q49" s="3">
        <f>SUMIFS('Alle ruter'!$AC$3:$AC$98,'Alle ruter'!$Z$3:$Z$98,"H2",'Alle ruter'!$I$3:$I$98,$A49,'Alle ruter'!$AJ$3:$AJ$98,"&lt;="&amp;Q$2)/2+SUMIFS('Alle ruter'!$AC$3:$AC$98,'Alle ruter'!$Z$3:$Z$98,"H2",'Alle ruter'!$J$3:$J$98,$A49,'Alle ruter'!$AJ$3:$AJ$98,"&lt;="&amp;Q$2)/2</f>
        <v>153.51871564383561</v>
      </c>
      <c r="R49" s="3">
        <f>SUMIFS('Alle ruter'!$AC$3:$AC$98,'Alle ruter'!$Z$3:$Z$98,"H2",'Alle ruter'!$I$3:$I$98,$A49,'Alle ruter'!$AJ$3:$AJ$98,"&lt;="&amp;R$2)/2+SUMIFS('Alle ruter'!$AC$3:$AC$98,'Alle ruter'!$Z$3:$Z$98,"H2",'Alle ruter'!$J$3:$J$98,$A49,'Alle ruter'!$AJ$3:$AJ$98,"&lt;="&amp;R$2)/2</f>
        <v>153.51871564383561</v>
      </c>
      <c r="S49" s="3">
        <f>SUMIFS('Alle ruter'!$AC$3:$AC$98,'Alle ruter'!$Z$3:$Z$98,"H2",'Alle ruter'!$I$3:$I$98,$A49,'Alle ruter'!$AJ$3:$AJ$98,"&lt;="&amp;S$2)/2+SUMIFS('Alle ruter'!$AC$3:$AC$98,'Alle ruter'!$Z$3:$Z$98,"H2",'Alle ruter'!$J$3:$J$98,$A49,'Alle ruter'!$AJ$3:$AJ$98,"&lt;="&amp;S$2)/2</f>
        <v>916.12845821719952</v>
      </c>
      <c r="T49" s="3"/>
    </row>
    <row r="50" spans="1:20" x14ac:dyDescent="0.3">
      <c r="A50" t="s">
        <v>178</v>
      </c>
      <c r="B50" t="s">
        <v>11</v>
      </c>
      <c r="C50" s="3">
        <f>COUNTIF('Alle ruter'!$I$3:$I$98,'H2 pr endeplass'!A50)+COUNTIFS('Alle ruter'!$J$3:$J$98,'H2 pr endeplass'!A50,'Alle ruter'!$K$3:$K$98,"Nei")</f>
        <v>3</v>
      </c>
      <c r="D50" s="3">
        <f>COUNTIFS('Alle ruter'!$I$3:$I$98,'H2 pr endeplass'!A50,'Alle ruter'!$Z$3:$Z$98,"H2")+COUNTIFS('Alle ruter'!$J$3:$J$98,'H2 pr endeplass'!A50,'Alle ruter'!$K$3:$K$98,"Nei",'Alle ruter'!$Z$3:$Z$98,"H2")</f>
        <v>0</v>
      </c>
      <c r="E50">
        <v>0</v>
      </c>
      <c r="F50" s="3">
        <f>SUMIFS('Alle ruter'!$AC$3:$AC$98,'Alle ruter'!$Z$3:$Z$98,"H2",'Alle ruter'!$I$3:$I$98,$A50,'Alle ruter'!$AJ$3:$AJ$98,"&lt;="&amp;F$2)/2+SUMIFS('Alle ruter'!$AC$3:$AC$98,'Alle ruter'!$Z$3:$Z$98,"H2",'Alle ruter'!$J$3:$J$98,$A50,'Alle ruter'!$AJ$3:$AJ$98,"&lt;="&amp;F$2)/2</f>
        <v>0</v>
      </c>
      <c r="G50" s="3">
        <f>SUMIFS('Alle ruter'!$AC$3:$AC$98,'Alle ruter'!$Z$3:$Z$98,"H2",'Alle ruter'!$I$3:$I$98,$A50,'Alle ruter'!$AJ$3:$AJ$98,"&lt;="&amp;G$2)/2+SUMIFS('Alle ruter'!$AC$3:$AC$98,'Alle ruter'!$Z$3:$Z$98,"H2",'Alle ruter'!$J$3:$J$98,$A50,'Alle ruter'!$AJ$3:$AJ$98,"&lt;="&amp;G$2)/2</f>
        <v>0</v>
      </c>
      <c r="H50" s="3">
        <f>SUMIFS('Alle ruter'!$AC$3:$AC$98,'Alle ruter'!$Z$3:$Z$98,"H2",'Alle ruter'!$I$3:$I$98,$A50,'Alle ruter'!$AJ$3:$AJ$98,"&lt;="&amp;H$2)/2+SUMIFS('Alle ruter'!$AC$3:$AC$98,'Alle ruter'!$Z$3:$Z$98,"H2",'Alle ruter'!$J$3:$J$98,$A50,'Alle ruter'!$AJ$3:$AJ$98,"&lt;="&amp;H$2)/2</f>
        <v>0</v>
      </c>
      <c r="I50" s="3">
        <f>SUMIFS('Alle ruter'!$AC$3:$AC$98,'Alle ruter'!$Z$3:$Z$98,"H2",'Alle ruter'!$I$3:$I$98,$A50,'Alle ruter'!$AJ$3:$AJ$98,"&lt;="&amp;I$2)/2+SUMIFS('Alle ruter'!$AC$3:$AC$98,'Alle ruter'!$Z$3:$Z$98,"H2",'Alle ruter'!$J$3:$J$98,$A50,'Alle ruter'!$AJ$3:$AJ$98,"&lt;="&amp;I$2)/2</f>
        <v>0</v>
      </c>
      <c r="J50" s="3">
        <f>SUMIFS('Alle ruter'!$AC$3:$AC$98,'Alle ruter'!$Z$3:$Z$98,"H2",'Alle ruter'!$I$3:$I$98,$A50,'Alle ruter'!$AJ$3:$AJ$98,"&lt;="&amp;J$2)/2+SUMIFS('Alle ruter'!$AC$3:$AC$98,'Alle ruter'!$Z$3:$Z$98,"H2",'Alle ruter'!$J$3:$J$98,$A50,'Alle ruter'!$AJ$3:$AJ$98,"&lt;="&amp;J$2)/2</f>
        <v>0</v>
      </c>
      <c r="K50" s="3">
        <f>SUMIFS('Alle ruter'!$AC$3:$AC$98,'Alle ruter'!$Z$3:$Z$98,"H2",'Alle ruter'!$I$3:$I$98,$A50,'Alle ruter'!$AJ$3:$AJ$98,"&lt;="&amp;K$2)/2+SUMIFS('Alle ruter'!$AC$3:$AC$98,'Alle ruter'!$Z$3:$Z$98,"H2",'Alle ruter'!$J$3:$J$98,$A50,'Alle ruter'!$AJ$3:$AJ$98,"&lt;="&amp;K$2)/2</f>
        <v>0</v>
      </c>
      <c r="L50" s="3">
        <f>SUMIFS('Alle ruter'!$AC$3:$AC$98,'Alle ruter'!$Z$3:$Z$98,"H2",'Alle ruter'!$I$3:$I$98,$A50,'Alle ruter'!$AJ$3:$AJ$98,"&lt;="&amp;L$2)/2+SUMIFS('Alle ruter'!$AC$3:$AC$98,'Alle ruter'!$Z$3:$Z$98,"H2",'Alle ruter'!$J$3:$J$98,$A50,'Alle ruter'!$AJ$3:$AJ$98,"&lt;="&amp;L$2)/2</f>
        <v>0</v>
      </c>
      <c r="M50" s="3">
        <f>SUMIFS('Alle ruter'!$AC$3:$AC$98,'Alle ruter'!$Z$3:$Z$98,"H2",'Alle ruter'!$I$3:$I$98,$A50,'Alle ruter'!$AJ$3:$AJ$98,"&lt;="&amp;M$2)/2+SUMIFS('Alle ruter'!$AC$3:$AC$98,'Alle ruter'!$Z$3:$Z$98,"H2",'Alle ruter'!$J$3:$J$98,$A50,'Alle ruter'!$AJ$3:$AJ$98,"&lt;="&amp;M$2)/2</f>
        <v>0</v>
      </c>
      <c r="N50" s="3">
        <f>SUMIFS('Alle ruter'!$AC$3:$AC$98,'Alle ruter'!$Z$3:$Z$98,"H2",'Alle ruter'!$I$3:$I$98,$A50,'Alle ruter'!$AJ$3:$AJ$98,"&lt;="&amp;N$2)/2+SUMIFS('Alle ruter'!$AC$3:$AC$98,'Alle ruter'!$Z$3:$Z$98,"H2",'Alle ruter'!$J$3:$J$98,$A50,'Alle ruter'!$AJ$3:$AJ$98,"&lt;="&amp;N$2)/2</f>
        <v>0</v>
      </c>
      <c r="O50" s="3">
        <f>SUMIFS('Alle ruter'!$AC$3:$AC$98,'Alle ruter'!$Z$3:$Z$98,"H2",'Alle ruter'!$I$3:$I$98,$A50,'Alle ruter'!$AJ$3:$AJ$98,"&lt;="&amp;O$2)/2+SUMIFS('Alle ruter'!$AC$3:$AC$98,'Alle ruter'!$Z$3:$Z$98,"H2",'Alle ruter'!$J$3:$J$98,$A50,'Alle ruter'!$AJ$3:$AJ$98,"&lt;="&amp;O$2)/2</f>
        <v>0</v>
      </c>
      <c r="P50" s="3">
        <f>SUMIFS('Alle ruter'!$AC$3:$AC$98,'Alle ruter'!$Z$3:$Z$98,"H2",'Alle ruter'!$I$3:$I$98,$A50,'Alle ruter'!$AJ$3:$AJ$98,"&lt;="&amp;P$2)/2+SUMIFS('Alle ruter'!$AC$3:$AC$98,'Alle ruter'!$Z$3:$Z$98,"H2",'Alle ruter'!$J$3:$J$98,$A50,'Alle ruter'!$AJ$3:$AJ$98,"&lt;="&amp;P$2)/2</f>
        <v>0</v>
      </c>
      <c r="Q50" s="3">
        <f>SUMIFS('Alle ruter'!$AC$3:$AC$98,'Alle ruter'!$Z$3:$Z$98,"H2",'Alle ruter'!$I$3:$I$98,$A50,'Alle ruter'!$AJ$3:$AJ$98,"&lt;="&amp;Q$2)/2+SUMIFS('Alle ruter'!$AC$3:$AC$98,'Alle ruter'!$Z$3:$Z$98,"H2",'Alle ruter'!$J$3:$J$98,$A50,'Alle ruter'!$AJ$3:$AJ$98,"&lt;="&amp;Q$2)/2</f>
        <v>0</v>
      </c>
      <c r="R50" s="3">
        <f>SUMIFS('Alle ruter'!$AC$3:$AC$98,'Alle ruter'!$Z$3:$Z$98,"H2",'Alle ruter'!$I$3:$I$98,$A50,'Alle ruter'!$AJ$3:$AJ$98,"&lt;="&amp;R$2)/2+SUMIFS('Alle ruter'!$AC$3:$AC$98,'Alle ruter'!$Z$3:$Z$98,"H2",'Alle ruter'!$J$3:$J$98,$A50,'Alle ruter'!$AJ$3:$AJ$98,"&lt;="&amp;R$2)/2</f>
        <v>0</v>
      </c>
      <c r="S50" s="3">
        <f>SUMIFS('Alle ruter'!$AC$3:$AC$98,'Alle ruter'!$Z$3:$Z$98,"H2",'Alle ruter'!$I$3:$I$98,$A50,'Alle ruter'!$AJ$3:$AJ$98,"&lt;="&amp;S$2)/2+SUMIFS('Alle ruter'!$AC$3:$AC$98,'Alle ruter'!$Z$3:$Z$98,"H2",'Alle ruter'!$J$3:$J$98,$A50,'Alle ruter'!$AJ$3:$AJ$98,"&lt;="&amp;S$2)/2</f>
        <v>0</v>
      </c>
      <c r="T50" s="3"/>
    </row>
    <row r="51" spans="1:20" x14ac:dyDescent="0.3">
      <c r="A51" t="s">
        <v>135</v>
      </c>
      <c r="B51" t="s">
        <v>389</v>
      </c>
      <c r="C51" s="3">
        <f>COUNTIF('Alle ruter'!$I$3:$I$98,'H2 pr endeplass'!A51)+COUNTIFS('Alle ruter'!$J$3:$J$98,'H2 pr endeplass'!A51,'Alle ruter'!$K$3:$K$98,"Nei")</f>
        <v>1</v>
      </c>
      <c r="D51" s="3">
        <f>COUNTIFS('Alle ruter'!$I$3:$I$98,'H2 pr endeplass'!A51,'Alle ruter'!$Z$3:$Z$98,"H2")+COUNTIFS('Alle ruter'!$J$3:$J$98,'H2 pr endeplass'!A51,'Alle ruter'!$K$3:$K$98,"Nei",'Alle ruter'!$Z$3:$Z$98,"H2")</f>
        <v>1</v>
      </c>
      <c r="E51">
        <v>0</v>
      </c>
      <c r="F51" s="3">
        <f>SUMIFS('Alle ruter'!$AC$3:$AC$98,'Alle ruter'!$Z$3:$Z$98,"H2",'Alle ruter'!$I$3:$I$98,$A51,'Alle ruter'!$AJ$3:$AJ$98,"&lt;="&amp;F$2)/2+SUMIFS('Alle ruter'!$AC$3:$AC$98,'Alle ruter'!$Z$3:$Z$98,"H2",'Alle ruter'!$J$3:$J$98,$A51,'Alle ruter'!$AJ$3:$AJ$98,"&lt;="&amp;F$2)/2</f>
        <v>0</v>
      </c>
      <c r="G51" s="3">
        <f>SUMIFS('Alle ruter'!$AC$3:$AC$98,'Alle ruter'!$Z$3:$Z$98,"H2",'Alle ruter'!$I$3:$I$98,$A51,'Alle ruter'!$AJ$3:$AJ$98,"&lt;="&amp;G$2)/2+SUMIFS('Alle ruter'!$AC$3:$AC$98,'Alle ruter'!$Z$3:$Z$98,"H2",'Alle ruter'!$J$3:$J$98,$A51,'Alle ruter'!$AJ$3:$AJ$98,"&lt;="&amp;G$2)/2</f>
        <v>0</v>
      </c>
      <c r="H51" s="3">
        <f>SUMIFS('Alle ruter'!$AC$3:$AC$98,'Alle ruter'!$Z$3:$Z$98,"H2",'Alle ruter'!$I$3:$I$98,$A51,'Alle ruter'!$AJ$3:$AJ$98,"&lt;="&amp;H$2)/2+SUMIFS('Alle ruter'!$AC$3:$AC$98,'Alle ruter'!$Z$3:$Z$98,"H2",'Alle ruter'!$J$3:$J$98,$A51,'Alle ruter'!$AJ$3:$AJ$98,"&lt;="&amp;H$2)/2</f>
        <v>0</v>
      </c>
      <c r="I51" s="3">
        <f>SUMIFS('Alle ruter'!$AC$3:$AC$98,'Alle ruter'!$Z$3:$Z$98,"H2",'Alle ruter'!$I$3:$I$98,$A51,'Alle ruter'!$AJ$3:$AJ$98,"&lt;="&amp;I$2)/2+SUMIFS('Alle ruter'!$AC$3:$AC$98,'Alle ruter'!$Z$3:$Z$98,"H2",'Alle ruter'!$J$3:$J$98,$A51,'Alle ruter'!$AJ$3:$AJ$98,"&lt;="&amp;I$2)/2</f>
        <v>0</v>
      </c>
      <c r="J51" s="3">
        <f>SUMIFS('Alle ruter'!$AC$3:$AC$98,'Alle ruter'!$Z$3:$Z$98,"H2",'Alle ruter'!$I$3:$I$98,$A51,'Alle ruter'!$AJ$3:$AJ$98,"&lt;="&amp;J$2)/2+SUMIFS('Alle ruter'!$AC$3:$AC$98,'Alle ruter'!$Z$3:$Z$98,"H2",'Alle ruter'!$J$3:$J$98,$A51,'Alle ruter'!$AJ$3:$AJ$98,"&lt;="&amp;J$2)/2</f>
        <v>0</v>
      </c>
      <c r="K51" s="3">
        <f>SUMIFS('Alle ruter'!$AC$3:$AC$98,'Alle ruter'!$Z$3:$Z$98,"H2",'Alle ruter'!$I$3:$I$98,$A51,'Alle ruter'!$AJ$3:$AJ$98,"&lt;="&amp;K$2)/2+SUMIFS('Alle ruter'!$AC$3:$AC$98,'Alle ruter'!$Z$3:$Z$98,"H2",'Alle ruter'!$J$3:$J$98,$A51,'Alle ruter'!$AJ$3:$AJ$98,"&lt;="&amp;K$2)/2</f>
        <v>0</v>
      </c>
      <c r="L51" s="3">
        <f>SUMIFS('Alle ruter'!$AC$3:$AC$98,'Alle ruter'!$Z$3:$Z$98,"H2",'Alle ruter'!$I$3:$I$98,$A51,'Alle ruter'!$AJ$3:$AJ$98,"&lt;="&amp;L$2)/2+SUMIFS('Alle ruter'!$AC$3:$AC$98,'Alle ruter'!$Z$3:$Z$98,"H2",'Alle ruter'!$J$3:$J$98,$A51,'Alle ruter'!$AJ$3:$AJ$98,"&lt;="&amp;L$2)/2</f>
        <v>0</v>
      </c>
      <c r="M51" s="3">
        <f>SUMIFS('Alle ruter'!$AC$3:$AC$98,'Alle ruter'!$Z$3:$Z$98,"H2",'Alle ruter'!$I$3:$I$98,$A51,'Alle ruter'!$AJ$3:$AJ$98,"&lt;="&amp;M$2)/2+SUMIFS('Alle ruter'!$AC$3:$AC$98,'Alle ruter'!$Z$3:$Z$98,"H2",'Alle ruter'!$J$3:$J$98,$A51,'Alle ruter'!$AJ$3:$AJ$98,"&lt;="&amp;M$2)/2</f>
        <v>0</v>
      </c>
      <c r="N51" s="3">
        <f>SUMIFS('Alle ruter'!$AC$3:$AC$98,'Alle ruter'!$Z$3:$Z$98,"H2",'Alle ruter'!$I$3:$I$98,$A51,'Alle ruter'!$AJ$3:$AJ$98,"&lt;="&amp;N$2)/2+SUMIFS('Alle ruter'!$AC$3:$AC$98,'Alle ruter'!$Z$3:$Z$98,"H2",'Alle ruter'!$J$3:$J$98,$A51,'Alle ruter'!$AJ$3:$AJ$98,"&lt;="&amp;N$2)/2</f>
        <v>0</v>
      </c>
      <c r="O51" s="3">
        <f>SUMIFS('Alle ruter'!$AC$3:$AC$98,'Alle ruter'!$Z$3:$Z$98,"H2",'Alle ruter'!$I$3:$I$98,$A51,'Alle ruter'!$AJ$3:$AJ$98,"&lt;="&amp;O$2)/2+SUMIFS('Alle ruter'!$AC$3:$AC$98,'Alle ruter'!$Z$3:$Z$98,"H2",'Alle ruter'!$J$3:$J$98,$A51,'Alle ruter'!$AJ$3:$AJ$98,"&lt;="&amp;O$2)/2</f>
        <v>0</v>
      </c>
      <c r="P51" s="3">
        <f>SUMIFS('Alle ruter'!$AC$3:$AC$98,'Alle ruter'!$Z$3:$Z$98,"H2",'Alle ruter'!$I$3:$I$98,$A51,'Alle ruter'!$AJ$3:$AJ$98,"&lt;="&amp;P$2)/2+SUMIFS('Alle ruter'!$AC$3:$AC$98,'Alle ruter'!$Z$3:$Z$98,"H2",'Alle ruter'!$J$3:$J$98,$A51,'Alle ruter'!$AJ$3:$AJ$98,"&lt;="&amp;P$2)/2</f>
        <v>0</v>
      </c>
      <c r="Q51" s="3">
        <f>SUMIFS('Alle ruter'!$AC$3:$AC$98,'Alle ruter'!$Z$3:$Z$98,"H2",'Alle ruter'!$I$3:$I$98,$A51,'Alle ruter'!$AJ$3:$AJ$98,"&lt;="&amp;Q$2)/2+SUMIFS('Alle ruter'!$AC$3:$AC$98,'Alle ruter'!$Z$3:$Z$98,"H2",'Alle ruter'!$J$3:$J$98,$A51,'Alle ruter'!$AJ$3:$AJ$98,"&lt;="&amp;Q$2)/2</f>
        <v>153.51871564383561</v>
      </c>
      <c r="R51" s="3">
        <f>SUMIFS('Alle ruter'!$AC$3:$AC$98,'Alle ruter'!$Z$3:$Z$98,"H2",'Alle ruter'!$I$3:$I$98,$A51,'Alle ruter'!$AJ$3:$AJ$98,"&lt;="&amp;R$2)/2+SUMIFS('Alle ruter'!$AC$3:$AC$98,'Alle ruter'!$Z$3:$Z$98,"H2",'Alle ruter'!$J$3:$J$98,$A51,'Alle ruter'!$AJ$3:$AJ$98,"&lt;="&amp;R$2)/2</f>
        <v>153.51871564383561</v>
      </c>
      <c r="S51" s="3">
        <f>SUMIFS('Alle ruter'!$AC$3:$AC$98,'Alle ruter'!$Z$3:$Z$98,"H2",'Alle ruter'!$I$3:$I$98,$A51,'Alle ruter'!$AJ$3:$AJ$98,"&lt;="&amp;S$2)/2+SUMIFS('Alle ruter'!$AC$3:$AC$98,'Alle ruter'!$Z$3:$Z$98,"H2",'Alle ruter'!$J$3:$J$98,$A51,'Alle ruter'!$AJ$3:$AJ$98,"&lt;="&amp;S$2)/2</f>
        <v>153.51871564383561</v>
      </c>
      <c r="T51" s="3"/>
    </row>
    <row r="52" spans="1:20" x14ac:dyDescent="0.3">
      <c r="A52" t="s">
        <v>150</v>
      </c>
      <c r="B52" t="s">
        <v>11</v>
      </c>
      <c r="C52" s="3">
        <f>COUNTIF('Alle ruter'!$I$3:$I$98,'H2 pr endeplass'!A52)+COUNTIFS('Alle ruter'!$J$3:$J$98,'H2 pr endeplass'!A52,'Alle ruter'!$K$3:$K$98,"Nei")</f>
        <v>1</v>
      </c>
      <c r="D52" s="3">
        <f>COUNTIFS('Alle ruter'!$I$3:$I$98,'H2 pr endeplass'!A52,'Alle ruter'!$Z$3:$Z$98,"H2")+COUNTIFS('Alle ruter'!$J$3:$J$98,'H2 pr endeplass'!A52,'Alle ruter'!$K$3:$K$98,"Nei",'Alle ruter'!$Z$3:$Z$98,"H2")</f>
        <v>0</v>
      </c>
      <c r="E52">
        <v>0</v>
      </c>
      <c r="F52" s="3">
        <f>SUMIFS('Alle ruter'!$AC$3:$AC$98,'Alle ruter'!$Z$3:$Z$98,"H2",'Alle ruter'!$I$3:$I$98,$A52,'Alle ruter'!$AJ$3:$AJ$98,"&lt;="&amp;F$2)/2+SUMIFS('Alle ruter'!$AC$3:$AC$98,'Alle ruter'!$Z$3:$Z$98,"H2",'Alle ruter'!$J$3:$J$98,$A52,'Alle ruter'!$AJ$3:$AJ$98,"&lt;="&amp;F$2)/2</f>
        <v>0</v>
      </c>
      <c r="G52" s="3">
        <f>SUMIFS('Alle ruter'!$AC$3:$AC$98,'Alle ruter'!$Z$3:$Z$98,"H2",'Alle ruter'!$I$3:$I$98,$A52,'Alle ruter'!$AJ$3:$AJ$98,"&lt;="&amp;G$2)/2+SUMIFS('Alle ruter'!$AC$3:$AC$98,'Alle ruter'!$Z$3:$Z$98,"H2",'Alle ruter'!$J$3:$J$98,$A52,'Alle ruter'!$AJ$3:$AJ$98,"&lt;="&amp;G$2)/2</f>
        <v>0</v>
      </c>
      <c r="H52" s="3">
        <f>SUMIFS('Alle ruter'!$AC$3:$AC$98,'Alle ruter'!$Z$3:$Z$98,"H2",'Alle ruter'!$I$3:$I$98,$A52,'Alle ruter'!$AJ$3:$AJ$98,"&lt;="&amp;H$2)/2+SUMIFS('Alle ruter'!$AC$3:$AC$98,'Alle ruter'!$Z$3:$Z$98,"H2",'Alle ruter'!$J$3:$J$98,$A52,'Alle ruter'!$AJ$3:$AJ$98,"&lt;="&amp;H$2)/2</f>
        <v>0</v>
      </c>
      <c r="I52" s="3">
        <f>SUMIFS('Alle ruter'!$AC$3:$AC$98,'Alle ruter'!$Z$3:$Z$98,"H2",'Alle ruter'!$I$3:$I$98,$A52,'Alle ruter'!$AJ$3:$AJ$98,"&lt;="&amp;I$2)/2+SUMIFS('Alle ruter'!$AC$3:$AC$98,'Alle ruter'!$Z$3:$Z$98,"H2",'Alle ruter'!$J$3:$J$98,$A52,'Alle ruter'!$AJ$3:$AJ$98,"&lt;="&amp;I$2)/2</f>
        <v>0</v>
      </c>
      <c r="J52" s="3">
        <f>SUMIFS('Alle ruter'!$AC$3:$AC$98,'Alle ruter'!$Z$3:$Z$98,"H2",'Alle ruter'!$I$3:$I$98,$A52,'Alle ruter'!$AJ$3:$AJ$98,"&lt;="&amp;J$2)/2+SUMIFS('Alle ruter'!$AC$3:$AC$98,'Alle ruter'!$Z$3:$Z$98,"H2",'Alle ruter'!$J$3:$J$98,$A52,'Alle ruter'!$AJ$3:$AJ$98,"&lt;="&amp;J$2)/2</f>
        <v>0</v>
      </c>
      <c r="K52" s="3">
        <f>SUMIFS('Alle ruter'!$AC$3:$AC$98,'Alle ruter'!$Z$3:$Z$98,"H2",'Alle ruter'!$I$3:$I$98,$A52,'Alle ruter'!$AJ$3:$AJ$98,"&lt;="&amp;K$2)/2+SUMIFS('Alle ruter'!$AC$3:$AC$98,'Alle ruter'!$Z$3:$Z$98,"H2",'Alle ruter'!$J$3:$J$98,$A52,'Alle ruter'!$AJ$3:$AJ$98,"&lt;="&amp;K$2)/2</f>
        <v>0</v>
      </c>
      <c r="L52" s="3">
        <f>SUMIFS('Alle ruter'!$AC$3:$AC$98,'Alle ruter'!$Z$3:$Z$98,"H2",'Alle ruter'!$I$3:$I$98,$A52,'Alle ruter'!$AJ$3:$AJ$98,"&lt;="&amp;L$2)/2+SUMIFS('Alle ruter'!$AC$3:$AC$98,'Alle ruter'!$Z$3:$Z$98,"H2",'Alle ruter'!$J$3:$J$98,$A52,'Alle ruter'!$AJ$3:$AJ$98,"&lt;="&amp;L$2)/2</f>
        <v>0</v>
      </c>
      <c r="M52" s="3">
        <f>SUMIFS('Alle ruter'!$AC$3:$AC$98,'Alle ruter'!$Z$3:$Z$98,"H2",'Alle ruter'!$I$3:$I$98,$A52,'Alle ruter'!$AJ$3:$AJ$98,"&lt;="&amp;M$2)/2+SUMIFS('Alle ruter'!$AC$3:$AC$98,'Alle ruter'!$Z$3:$Z$98,"H2",'Alle ruter'!$J$3:$J$98,$A52,'Alle ruter'!$AJ$3:$AJ$98,"&lt;="&amp;M$2)/2</f>
        <v>0</v>
      </c>
      <c r="N52" s="3">
        <f>SUMIFS('Alle ruter'!$AC$3:$AC$98,'Alle ruter'!$Z$3:$Z$98,"H2",'Alle ruter'!$I$3:$I$98,$A52,'Alle ruter'!$AJ$3:$AJ$98,"&lt;="&amp;N$2)/2+SUMIFS('Alle ruter'!$AC$3:$AC$98,'Alle ruter'!$Z$3:$Z$98,"H2",'Alle ruter'!$J$3:$J$98,$A52,'Alle ruter'!$AJ$3:$AJ$98,"&lt;="&amp;N$2)/2</f>
        <v>0</v>
      </c>
      <c r="O52" s="3">
        <f>SUMIFS('Alle ruter'!$AC$3:$AC$98,'Alle ruter'!$Z$3:$Z$98,"H2",'Alle ruter'!$I$3:$I$98,$A52,'Alle ruter'!$AJ$3:$AJ$98,"&lt;="&amp;O$2)/2+SUMIFS('Alle ruter'!$AC$3:$AC$98,'Alle ruter'!$Z$3:$Z$98,"H2",'Alle ruter'!$J$3:$J$98,$A52,'Alle ruter'!$AJ$3:$AJ$98,"&lt;="&amp;O$2)/2</f>
        <v>0</v>
      </c>
      <c r="P52" s="3">
        <f>SUMIFS('Alle ruter'!$AC$3:$AC$98,'Alle ruter'!$Z$3:$Z$98,"H2",'Alle ruter'!$I$3:$I$98,$A52,'Alle ruter'!$AJ$3:$AJ$98,"&lt;="&amp;P$2)/2+SUMIFS('Alle ruter'!$AC$3:$AC$98,'Alle ruter'!$Z$3:$Z$98,"H2",'Alle ruter'!$J$3:$J$98,$A52,'Alle ruter'!$AJ$3:$AJ$98,"&lt;="&amp;P$2)/2</f>
        <v>0</v>
      </c>
      <c r="Q52" s="3">
        <f>SUMIFS('Alle ruter'!$AC$3:$AC$98,'Alle ruter'!$Z$3:$Z$98,"H2",'Alle ruter'!$I$3:$I$98,$A52,'Alle ruter'!$AJ$3:$AJ$98,"&lt;="&amp;Q$2)/2+SUMIFS('Alle ruter'!$AC$3:$AC$98,'Alle ruter'!$Z$3:$Z$98,"H2",'Alle ruter'!$J$3:$J$98,$A52,'Alle ruter'!$AJ$3:$AJ$98,"&lt;="&amp;Q$2)/2</f>
        <v>0</v>
      </c>
      <c r="R52" s="3">
        <f>SUMIFS('Alle ruter'!$AC$3:$AC$98,'Alle ruter'!$Z$3:$Z$98,"H2",'Alle ruter'!$I$3:$I$98,$A52,'Alle ruter'!$AJ$3:$AJ$98,"&lt;="&amp;R$2)/2+SUMIFS('Alle ruter'!$AC$3:$AC$98,'Alle ruter'!$Z$3:$Z$98,"H2",'Alle ruter'!$J$3:$J$98,$A52,'Alle ruter'!$AJ$3:$AJ$98,"&lt;="&amp;R$2)/2</f>
        <v>0</v>
      </c>
      <c r="S52" s="3">
        <f>SUMIFS('Alle ruter'!$AC$3:$AC$98,'Alle ruter'!$Z$3:$Z$98,"H2",'Alle ruter'!$I$3:$I$98,$A52,'Alle ruter'!$AJ$3:$AJ$98,"&lt;="&amp;S$2)/2+SUMIFS('Alle ruter'!$AC$3:$AC$98,'Alle ruter'!$Z$3:$Z$98,"H2",'Alle ruter'!$J$3:$J$98,$A52,'Alle ruter'!$AJ$3:$AJ$98,"&lt;="&amp;S$2)/2</f>
        <v>0</v>
      </c>
      <c r="T52" s="3"/>
    </row>
    <row r="53" spans="1:20" x14ac:dyDescent="0.3">
      <c r="A53" t="s">
        <v>188</v>
      </c>
      <c r="B53" t="s">
        <v>6</v>
      </c>
      <c r="C53" s="3">
        <f>COUNTIF('Alle ruter'!$I$3:$I$98,'H2 pr endeplass'!A53)+COUNTIFS('Alle ruter'!$J$3:$J$98,'H2 pr endeplass'!A53,'Alle ruter'!$K$3:$K$98,"Nei")</f>
        <v>1</v>
      </c>
      <c r="D53" s="3">
        <f>COUNTIFS('Alle ruter'!$I$3:$I$98,'H2 pr endeplass'!A53,'Alle ruter'!$Z$3:$Z$98,"H2")+COUNTIFS('Alle ruter'!$J$3:$J$98,'H2 pr endeplass'!A53,'Alle ruter'!$K$3:$K$98,"Nei",'Alle ruter'!$Z$3:$Z$98,"H2")</f>
        <v>0</v>
      </c>
      <c r="E53">
        <v>0</v>
      </c>
      <c r="F53" s="3">
        <f>SUMIFS('Alle ruter'!$AC$3:$AC$98,'Alle ruter'!$Z$3:$Z$98,"H2",'Alle ruter'!$I$3:$I$98,$A53,'Alle ruter'!$AJ$3:$AJ$98,"&lt;="&amp;F$2)/2+SUMIFS('Alle ruter'!$AC$3:$AC$98,'Alle ruter'!$Z$3:$Z$98,"H2",'Alle ruter'!$J$3:$J$98,$A53,'Alle ruter'!$AJ$3:$AJ$98,"&lt;="&amp;F$2)/2</f>
        <v>0</v>
      </c>
      <c r="G53" s="3">
        <f>SUMIFS('Alle ruter'!$AC$3:$AC$98,'Alle ruter'!$Z$3:$Z$98,"H2",'Alle ruter'!$I$3:$I$98,$A53,'Alle ruter'!$AJ$3:$AJ$98,"&lt;="&amp;G$2)/2+SUMIFS('Alle ruter'!$AC$3:$AC$98,'Alle ruter'!$Z$3:$Z$98,"H2",'Alle ruter'!$J$3:$J$98,$A53,'Alle ruter'!$AJ$3:$AJ$98,"&lt;="&amp;G$2)/2</f>
        <v>0</v>
      </c>
      <c r="H53" s="3">
        <f>SUMIFS('Alle ruter'!$AC$3:$AC$98,'Alle ruter'!$Z$3:$Z$98,"H2",'Alle ruter'!$I$3:$I$98,$A53,'Alle ruter'!$AJ$3:$AJ$98,"&lt;="&amp;H$2)/2+SUMIFS('Alle ruter'!$AC$3:$AC$98,'Alle ruter'!$Z$3:$Z$98,"H2",'Alle ruter'!$J$3:$J$98,$A53,'Alle ruter'!$AJ$3:$AJ$98,"&lt;="&amp;H$2)/2</f>
        <v>0</v>
      </c>
      <c r="I53" s="3">
        <f>SUMIFS('Alle ruter'!$AC$3:$AC$98,'Alle ruter'!$Z$3:$Z$98,"H2",'Alle ruter'!$I$3:$I$98,$A53,'Alle ruter'!$AJ$3:$AJ$98,"&lt;="&amp;I$2)/2+SUMIFS('Alle ruter'!$AC$3:$AC$98,'Alle ruter'!$Z$3:$Z$98,"H2",'Alle ruter'!$J$3:$J$98,$A53,'Alle ruter'!$AJ$3:$AJ$98,"&lt;="&amp;I$2)/2</f>
        <v>0</v>
      </c>
      <c r="J53" s="3">
        <f>SUMIFS('Alle ruter'!$AC$3:$AC$98,'Alle ruter'!$Z$3:$Z$98,"H2",'Alle ruter'!$I$3:$I$98,$A53,'Alle ruter'!$AJ$3:$AJ$98,"&lt;="&amp;J$2)/2+SUMIFS('Alle ruter'!$AC$3:$AC$98,'Alle ruter'!$Z$3:$Z$98,"H2",'Alle ruter'!$J$3:$J$98,$A53,'Alle ruter'!$AJ$3:$AJ$98,"&lt;="&amp;J$2)/2</f>
        <v>0</v>
      </c>
      <c r="K53" s="3">
        <f>SUMIFS('Alle ruter'!$AC$3:$AC$98,'Alle ruter'!$Z$3:$Z$98,"H2",'Alle ruter'!$I$3:$I$98,$A53,'Alle ruter'!$AJ$3:$AJ$98,"&lt;="&amp;K$2)/2+SUMIFS('Alle ruter'!$AC$3:$AC$98,'Alle ruter'!$Z$3:$Z$98,"H2",'Alle ruter'!$J$3:$J$98,$A53,'Alle ruter'!$AJ$3:$AJ$98,"&lt;="&amp;K$2)/2</f>
        <v>0</v>
      </c>
      <c r="L53" s="3">
        <f>SUMIFS('Alle ruter'!$AC$3:$AC$98,'Alle ruter'!$Z$3:$Z$98,"H2",'Alle ruter'!$I$3:$I$98,$A53,'Alle ruter'!$AJ$3:$AJ$98,"&lt;="&amp;L$2)/2+SUMIFS('Alle ruter'!$AC$3:$AC$98,'Alle ruter'!$Z$3:$Z$98,"H2",'Alle ruter'!$J$3:$J$98,$A53,'Alle ruter'!$AJ$3:$AJ$98,"&lt;="&amp;L$2)/2</f>
        <v>0</v>
      </c>
      <c r="M53" s="3">
        <f>SUMIFS('Alle ruter'!$AC$3:$AC$98,'Alle ruter'!$Z$3:$Z$98,"H2",'Alle ruter'!$I$3:$I$98,$A53,'Alle ruter'!$AJ$3:$AJ$98,"&lt;="&amp;M$2)/2+SUMIFS('Alle ruter'!$AC$3:$AC$98,'Alle ruter'!$Z$3:$Z$98,"H2",'Alle ruter'!$J$3:$J$98,$A53,'Alle ruter'!$AJ$3:$AJ$98,"&lt;="&amp;M$2)/2</f>
        <v>0</v>
      </c>
      <c r="N53" s="3">
        <f>SUMIFS('Alle ruter'!$AC$3:$AC$98,'Alle ruter'!$Z$3:$Z$98,"H2",'Alle ruter'!$I$3:$I$98,$A53,'Alle ruter'!$AJ$3:$AJ$98,"&lt;="&amp;N$2)/2+SUMIFS('Alle ruter'!$AC$3:$AC$98,'Alle ruter'!$Z$3:$Z$98,"H2",'Alle ruter'!$J$3:$J$98,$A53,'Alle ruter'!$AJ$3:$AJ$98,"&lt;="&amp;N$2)/2</f>
        <v>0</v>
      </c>
      <c r="O53" s="3">
        <f>SUMIFS('Alle ruter'!$AC$3:$AC$98,'Alle ruter'!$Z$3:$Z$98,"H2",'Alle ruter'!$I$3:$I$98,$A53,'Alle ruter'!$AJ$3:$AJ$98,"&lt;="&amp;O$2)/2+SUMIFS('Alle ruter'!$AC$3:$AC$98,'Alle ruter'!$Z$3:$Z$98,"H2",'Alle ruter'!$J$3:$J$98,$A53,'Alle ruter'!$AJ$3:$AJ$98,"&lt;="&amp;O$2)/2</f>
        <v>0</v>
      </c>
      <c r="P53" s="3">
        <f>SUMIFS('Alle ruter'!$AC$3:$AC$98,'Alle ruter'!$Z$3:$Z$98,"H2",'Alle ruter'!$I$3:$I$98,$A53,'Alle ruter'!$AJ$3:$AJ$98,"&lt;="&amp;P$2)/2+SUMIFS('Alle ruter'!$AC$3:$AC$98,'Alle ruter'!$Z$3:$Z$98,"H2",'Alle ruter'!$J$3:$J$98,$A53,'Alle ruter'!$AJ$3:$AJ$98,"&lt;="&amp;P$2)/2</f>
        <v>0</v>
      </c>
      <c r="Q53" s="3">
        <f>SUMIFS('Alle ruter'!$AC$3:$AC$98,'Alle ruter'!$Z$3:$Z$98,"H2",'Alle ruter'!$I$3:$I$98,$A53,'Alle ruter'!$AJ$3:$AJ$98,"&lt;="&amp;Q$2)/2+SUMIFS('Alle ruter'!$AC$3:$AC$98,'Alle ruter'!$Z$3:$Z$98,"H2",'Alle ruter'!$J$3:$J$98,$A53,'Alle ruter'!$AJ$3:$AJ$98,"&lt;="&amp;Q$2)/2</f>
        <v>0</v>
      </c>
      <c r="R53" s="3">
        <f>SUMIFS('Alle ruter'!$AC$3:$AC$98,'Alle ruter'!$Z$3:$Z$98,"H2",'Alle ruter'!$I$3:$I$98,$A53,'Alle ruter'!$AJ$3:$AJ$98,"&lt;="&amp;R$2)/2+SUMIFS('Alle ruter'!$AC$3:$AC$98,'Alle ruter'!$Z$3:$Z$98,"H2",'Alle ruter'!$J$3:$J$98,$A53,'Alle ruter'!$AJ$3:$AJ$98,"&lt;="&amp;R$2)/2</f>
        <v>0</v>
      </c>
      <c r="S53" s="3">
        <f>SUMIFS('Alle ruter'!$AC$3:$AC$98,'Alle ruter'!$Z$3:$Z$98,"H2",'Alle ruter'!$I$3:$I$98,$A53,'Alle ruter'!$AJ$3:$AJ$98,"&lt;="&amp;S$2)/2+SUMIFS('Alle ruter'!$AC$3:$AC$98,'Alle ruter'!$Z$3:$Z$98,"H2",'Alle ruter'!$J$3:$J$98,$A53,'Alle ruter'!$AJ$3:$AJ$98,"&lt;="&amp;S$2)/2</f>
        <v>0</v>
      </c>
      <c r="T53" s="3"/>
    </row>
    <row r="54" spans="1:20" x14ac:dyDescent="0.3">
      <c r="A54" t="s">
        <v>189</v>
      </c>
      <c r="B54" t="s">
        <v>6</v>
      </c>
      <c r="C54" s="3">
        <f>COUNTIF('Alle ruter'!$I$3:$I$98,'H2 pr endeplass'!A54)+COUNTIFS('Alle ruter'!$J$3:$J$98,'H2 pr endeplass'!A54,'Alle ruter'!$K$3:$K$98,"Nei")</f>
        <v>1</v>
      </c>
      <c r="D54" s="3">
        <f>COUNTIFS('Alle ruter'!$I$3:$I$98,'H2 pr endeplass'!A54,'Alle ruter'!$Z$3:$Z$98,"H2")+COUNTIFS('Alle ruter'!$J$3:$J$98,'H2 pr endeplass'!A54,'Alle ruter'!$K$3:$K$98,"Nei",'Alle ruter'!$Z$3:$Z$98,"H2")</f>
        <v>0</v>
      </c>
      <c r="E54">
        <v>0</v>
      </c>
      <c r="F54" s="3">
        <f>SUMIFS('Alle ruter'!$AC$3:$AC$98,'Alle ruter'!$Z$3:$Z$98,"H2",'Alle ruter'!$I$3:$I$98,$A54,'Alle ruter'!$AJ$3:$AJ$98,"&lt;="&amp;F$2)/2+SUMIFS('Alle ruter'!$AC$3:$AC$98,'Alle ruter'!$Z$3:$Z$98,"H2",'Alle ruter'!$J$3:$J$98,$A54,'Alle ruter'!$AJ$3:$AJ$98,"&lt;="&amp;F$2)/2</f>
        <v>0</v>
      </c>
      <c r="G54" s="3">
        <f>SUMIFS('Alle ruter'!$AC$3:$AC$98,'Alle ruter'!$Z$3:$Z$98,"H2",'Alle ruter'!$I$3:$I$98,$A54,'Alle ruter'!$AJ$3:$AJ$98,"&lt;="&amp;G$2)/2+SUMIFS('Alle ruter'!$AC$3:$AC$98,'Alle ruter'!$Z$3:$Z$98,"H2",'Alle ruter'!$J$3:$J$98,$A54,'Alle ruter'!$AJ$3:$AJ$98,"&lt;="&amp;G$2)/2</f>
        <v>0</v>
      </c>
      <c r="H54" s="3">
        <f>SUMIFS('Alle ruter'!$AC$3:$AC$98,'Alle ruter'!$Z$3:$Z$98,"H2",'Alle ruter'!$I$3:$I$98,$A54,'Alle ruter'!$AJ$3:$AJ$98,"&lt;="&amp;H$2)/2+SUMIFS('Alle ruter'!$AC$3:$AC$98,'Alle ruter'!$Z$3:$Z$98,"H2",'Alle ruter'!$J$3:$J$98,$A54,'Alle ruter'!$AJ$3:$AJ$98,"&lt;="&amp;H$2)/2</f>
        <v>0</v>
      </c>
      <c r="I54" s="3">
        <f>SUMIFS('Alle ruter'!$AC$3:$AC$98,'Alle ruter'!$Z$3:$Z$98,"H2",'Alle ruter'!$I$3:$I$98,$A54,'Alle ruter'!$AJ$3:$AJ$98,"&lt;="&amp;I$2)/2+SUMIFS('Alle ruter'!$AC$3:$AC$98,'Alle ruter'!$Z$3:$Z$98,"H2",'Alle ruter'!$J$3:$J$98,$A54,'Alle ruter'!$AJ$3:$AJ$98,"&lt;="&amp;I$2)/2</f>
        <v>0</v>
      </c>
      <c r="J54" s="3">
        <f>SUMIFS('Alle ruter'!$AC$3:$AC$98,'Alle ruter'!$Z$3:$Z$98,"H2",'Alle ruter'!$I$3:$I$98,$A54,'Alle ruter'!$AJ$3:$AJ$98,"&lt;="&amp;J$2)/2+SUMIFS('Alle ruter'!$AC$3:$AC$98,'Alle ruter'!$Z$3:$Z$98,"H2",'Alle ruter'!$J$3:$J$98,$A54,'Alle ruter'!$AJ$3:$AJ$98,"&lt;="&amp;J$2)/2</f>
        <v>0</v>
      </c>
      <c r="K54" s="3">
        <f>SUMIFS('Alle ruter'!$AC$3:$AC$98,'Alle ruter'!$Z$3:$Z$98,"H2",'Alle ruter'!$I$3:$I$98,$A54,'Alle ruter'!$AJ$3:$AJ$98,"&lt;="&amp;K$2)/2+SUMIFS('Alle ruter'!$AC$3:$AC$98,'Alle ruter'!$Z$3:$Z$98,"H2",'Alle ruter'!$J$3:$J$98,$A54,'Alle ruter'!$AJ$3:$AJ$98,"&lt;="&amp;K$2)/2</f>
        <v>0</v>
      </c>
      <c r="L54" s="3">
        <f>SUMIFS('Alle ruter'!$AC$3:$AC$98,'Alle ruter'!$Z$3:$Z$98,"H2",'Alle ruter'!$I$3:$I$98,$A54,'Alle ruter'!$AJ$3:$AJ$98,"&lt;="&amp;L$2)/2+SUMIFS('Alle ruter'!$AC$3:$AC$98,'Alle ruter'!$Z$3:$Z$98,"H2",'Alle ruter'!$J$3:$J$98,$A54,'Alle ruter'!$AJ$3:$AJ$98,"&lt;="&amp;L$2)/2</f>
        <v>0</v>
      </c>
      <c r="M54" s="3">
        <f>SUMIFS('Alle ruter'!$AC$3:$AC$98,'Alle ruter'!$Z$3:$Z$98,"H2",'Alle ruter'!$I$3:$I$98,$A54,'Alle ruter'!$AJ$3:$AJ$98,"&lt;="&amp;M$2)/2+SUMIFS('Alle ruter'!$AC$3:$AC$98,'Alle ruter'!$Z$3:$Z$98,"H2",'Alle ruter'!$J$3:$J$98,$A54,'Alle ruter'!$AJ$3:$AJ$98,"&lt;="&amp;M$2)/2</f>
        <v>0</v>
      </c>
      <c r="N54" s="3">
        <f>SUMIFS('Alle ruter'!$AC$3:$AC$98,'Alle ruter'!$Z$3:$Z$98,"H2",'Alle ruter'!$I$3:$I$98,$A54,'Alle ruter'!$AJ$3:$AJ$98,"&lt;="&amp;N$2)/2+SUMIFS('Alle ruter'!$AC$3:$AC$98,'Alle ruter'!$Z$3:$Z$98,"H2",'Alle ruter'!$J$3:$J$98,$A54,'Alle ruter'!$AJ$3:$AJ$98,"&lt;="&amp;N$2)/2</f>
        <v>0</v>
      </c>
      <c r="O54" s="3">
        <f>SUMIFS('Alle ruter'!$AC$3:$AC$98,'Alle ruter'!$Z$3:$Z$98,"H2",'Alle ruter'!$I$3:$I$98,$A54,'Alle ruter'!$AJ$3:$AJ$98,"&lt;="&amp;O$2)/2+SUMIFS('Alle ruter'!$AC$3:$AC$98,'Alle ruter'!$Z$3:$Z$98,"H2",'Alle ruter'!$J$3:$J$98,$A54,'Alle ruter'!$AJ$3:$AJ$98,"&lt;="&amp;O$2)/2</f>
        <v>0</v>
      </c>
      <c r="P54" s="3">
        <f>SUMIFS('Alle ruter'!$AC$3:$AC$98,'Alle ruter'!$Z$3:$Z$98,"H2",'Alle ruter'!$I$3:$I$98,$A54,'Alle ruter'!$AJ$3:$AJ$98,"&lt;="&amp;P$2)/2+SUMIFS('Alle ruter'!$AC$3:$AC$98,'Alle ruter'!$Z$3:$Z$98,"H2",'Alle ruter'!$J$3:$J$98,$A54,'Alle ruter'!$AJ$3:$AJ$98,"&lt;="&amp;P$2)/2</f>
        <v>0</v>
      </c>
      <c r="Q54" s="3">
        <f>SUMIFS('Alle ruter'!$AC$3:$AC$98,'Alle ruter'!$Z$3:$Z$98,"H2",'Alle ruter'!$I$3:$I$98,$A54,'Alle ruter'!$AJ$3:$AJ$98,"&lt;="&amp;Q$2)/2+SUMIFS('Alle ruter'!$AC$3:$AC$98,'Alle ruter'!$Z$3:$Z$98,"H2",'Alle ruter'!$J$3:$J$98,$A54,'Alle ruter'!$AJ$3:$AJ$98,"&lt;="&amp;Q$2)/2</f>
        <v>0</v>
      </c>
      <c r="R54" s="3">
        <f>SUMIFS('Alle ruter'!$AC$3:$AC$98,'Alle ruter'!$Z$3:$Z$98,"H2",'Alle ruter'!$I$3:$I$98,$A54,'Alle ruter'!$AJ$3:$AJ$98,"&lt;="&amp;R$2)/2+SUMIFS('Alle ruter'!$AC$3:$AC$98,'Alle ruter'!$Z$3:$Z$98,"H2",'Alle ruter'!$J$3:$J$98,$A54,'Alle ruter'!$AJ$3:$AJ$98,"&lt;="&amp;R$2)/2</f>
        <v>0</v>
      </c>
      <c r="S54" s="3">
        <f>SUMIFS('Alle ruter'!$AC$3:$AC$98,'Alle ruter'!$Z$3:$Z$98,"H2",'Alle ruter'!$I$3:$I$98,$A54,'Alle ruter'!$AJ$3:$AJ$98,"&lt;="&amp;S$2)/2+SUMIFS('Alle ruter'!$AC$3:$AC$98,'Alle ruter'!$Z$3:$Z$98,"H2",'Alle ruter'!$J$3:$J$98,$A54,'Alle ruter'!$AJ$3:$AJ$98,"&lt;="&amp;S$2)/2</f>
        <v>0</v>
      </c>
      <c r="T54" s="3"/>
    </row>
    <row r="55" spans="1:20" x14ac:dyDescent="0.3">
      <c r="A55" t="s">
        <v>152</v>
      </c>
      <c r="B55" t="s">
        <v>388</v>
      </c>
      <c r="C55" s="3">
        <f>COUNTIF('Alle ruter'!$I$3:$I$98,'H2 pr endeplass'!A55)+COUNTIFS('Alle ruter'!$J$3:$J$98,'H2 pr endeplass'!A55,'Alle ruter'!$K$3:$K$98,"Nei")</f>
        <v>2</v>
      </c>
      <c r="D55" s="3">
        <f>COUNTIFS('Alle ruter'!$I$3:$I$98,'H2 pr endeplass'!A55,'Alle ruter'!$Z$3:$Z$98,"H2")+COUNTIFS('Alle ruter'!$J$3:$J$98,'H2 pr endeplass'!A55,'Alle ruter'!$K$3:$K$98,"Nei",'Alle ruter'!$Z$3:$Z$98,"H2")</f>
        <v>0</v>
      </c>
      <c r="E55">
        <v>0</v>
      </c>
      <c r="F55" s="3">
        <f>SUMIFS('Alle ruter'!$AC$3:$AC$98,'Alle ruter'!$Z$3:$Z$98,"H2",'Alle ruter'!$I$3:$I$98,$A55,'Alle ruter'!$AJ$3:$AJ$98,"&lt;="&amp;F$2)/2+SUMIFS('Alle ruter'!$AC$3:$AC$98,'Alle ruter'!$Z$3:$Z$98,"H2",'Alle ruter'!$J$3:$J$98,$A55,'Alle ruter'!$AJ$3:$AJ$98,"&lt;="&amp;F$2)/2</f>
        <v>0</v>
      </c>
      <c r="G55" s="3">
        <f>SUMIFS('Alle ruter'!$AC$3:$AC$98,'Alle ruter'!$Z$3:$Z$98,"H2",'Alle ruter'!$I$3:$I$98,$A55,'Alle ruter'!$AJ$3:$AJ$98,"&lt;="&amp;G$2)/2+SUMIFS('Alle ruter'!$AC$3:$AC$98,'Alle ruter'!$Z$3:$Z$98,"H2",'Alle ruter'!$J$3:$J$98,$A55,'Alle ruter'!$AJ$3:$AJ$98,"&lt;="&amp;G$2)/2</f>
        <v>0</v>
      </c>
      <c r="H55" s="3">
        <f>SUMIFS('Alle ruter'!$AC$3:$AC$98,'Alle ruter'!$Z$3:$Z$98,"H2",'Alle ruter'!$I$3:$I$98,$A55,'Alle ruter'!$AJ$3:$AJ$98,"&lt;="&amp;H$2)/2+SUMIFS('Alle ruter'!$AC$3:$AC$98,'Alle ruter'!$Z$3:$Z$98,"H2",'Alle ruter'!$J$3:$J$98,$A55,'Alle ruter'!$AJ$3:$AJ$98,"&lt;="&amp;H$2)/2</f>
        <v>0</v>
      </c>
      <c r="I55" s="3">
        <f>SUMIFS('Alle ruter'!$AC$3:$AC$98,'Alle ruter'!$Z$3:$Z$98,"H2",'Alle ruter'!$I$3:$I$98,$A55,'Alle ruter'!$AJ$3:$AJ$98,"&lt;="&amp;I$2)/2+SUMIFS('Alle ruter'!$AC$3:$AC$98,'Alle ruter'!$Z$3:$Z$98,"H2",'Alle ruter'!$J$3:$J$98,$A55,'Alle ruter'!$AJ$3:$AJ$98,"&lt;="&amp;I$2)/2</f>
        <v>0</v>
      </c>
      <c r="J55" s="3">
        <f>SUMIFS('Alle ruter'!$AC$3:$AC$98,'Alle ruter'!$Z$3:$Z$98,"H2",'Alle ruter'!$I$3:$I$98,$A55,'Alle ruter'!$AJ$3:$AJ$98,"&lt;="&amp;J$2)/2+SUMIFS('Alle ruter'!$AC$3:$AC$98,'Alle ruter'!$Z$3:$Z$98,"H2",'Alle ruter'!$J$3:$J$98,$A55,'Alle ruter'!$AJ$3:$AJ$98,"&lt;="&amp;J$2)/2</f>
        <v>0</v>
      </c>
      <c r="K55" s="3">
        <f>SUMIFS('Alle ruter'!$AC$3:$AC$98,'Alle ruter'!$Z$3:$Z$98,"H2",'Alle ruter'!$I$3:$I$98,$A55,'Alle ruter'!$AJ$3:$AJ$98,"&lt;="&amp;K$2)/2+SUMIFS('Alle ruter'!$AC$3:$AC$98,'Alle ruter'!$Z$3:$Z$98,"H2",'Alle ruter'!$J$3:$J$98,$A55,'Alle ruter'!$AJ$3:$AJ$98,"&lt;="&amp;K$2)/2</f>
        <v>0</v>
      </c>
      <c r="L55" s="3">
        <f>SUMIFS('Alle ruter'!$AC$3:$AC$98,'Alle ruter'!$Z$3:$Z$98,"H2",'Alle ruter'!$I$3:$I$98,$A55,'Alle ruter'!$AJ$3:$AJ$98,"&lt;="&amp;L$2)/2+SUMIFS('Alle ruter'!$AC$3:$AC$98,'Alle ruter'!$Z$3:$Z$98,"H2",'Alle ruter'!$J$3:$J$98,$A55,'Alle ruter'!$AJ$3:$AJ$98,"&lt;="&amp;L$2)/2</f>
        <v>0</v>
      </c>
      <c r="M55" s="3">
        <f>SUMIFS('Alle ruter'!$AC$3:$AC$98,'Alle ruter'!$Z$3:$Z$98,"H2",'Alle ruter'!$I$3:$I$98,$A55,'Alle ruter'!$AJ$3:$AJ$98,"&lt;="&amp;M$2)/2+SUMIFS('Alle ruter'!$AC$3:$AC$98,'Alle ruter'!$Z$3:$Z$98,"H2",'Alle ruter'!$J$3:$J$98,$A55,'Alle ruter'!$AJ$3:$AJ$98,"&lt;="&amp;M$2)/2</f>
        <v>0</v>
      </c>
      <c r="N55" s="3">
        <f>SUMIFS('Alle ruter'!$AC$3:$AC$98,'Alle ruter'!$Z$3:$Z$98,"H2",'Alle ruter'!$I$3:$I$98,$A55,'Alle ruter'!$AJ$3:$AJ$98,"&lt;="&amp;N$2)/2+SUMIFS('Alle ruter'!$AC$3:$AC$98,'Alle ruter'!$Z$3:$Z$98,"H2",'Alle ruter'!$J$3:$J$98,$A55,'Alle ruter'!$AJ$3:$AJ$98,"&lt;="&amp;N$2)/2</f>
        <v>0</v>
      </c>
      <c r="O55" s="3">
        <f>SUMIFS('Alle ruter'!$AC$3:$AC$98,'Alle ruter'!$Z$3:$Z$98,"H2",'Alle ruter'!$I$3:$I$98,$A55,'Alle ruter'!$AJ$3:$AJ$98,"&lt;="&amp;O$2)/2+SUMIFS('Alle ruter'!$AC$3:$AC$98,'Alle ruter'!$Z$3:$Z$98,"H2",'Alle ruter'!$J$3:$J$98,$A55,'Alle ruter'!$AJ$3:$AJ$98,"&lt;="&amp;O$2)/2</f>
        <v>0</v>
      </c>
      <c r="P55" s="3">
        <f>SUMIFS('Alle ruter'!$AC$3:$AC$98,'Alle ruter'!$Z$3:$Z$98,"H2",'Alle ruter'!$I$3:$I$98,$A55,'Alle ruter'!$AJ$3:$AJ$98,"&lt;="&amp;P$2)/2+SUMIFS('Alle ruter'!$AC$3:$AC$98,'Alle ruter'!$Z$3:$Z$98,"H2",'Alle ruter'!$J$3:$J$98,$A55,'Alle ruter'!$AJ$3:$AJ$98,"&lt;="&amp;P$2)/2</f>
        <v>0</v>
      </c>
      <c r="Q55" s="3">
        <f>SUMIFS('Alle ruter'!$AC$3:$AC$98,'Alle ruter'!$Z$3:$Z$98,"H2",'Alle ruter'!$I$3:$I$98,$A55,'Alle ruter'!$AJ$3:$AJ$98,"&lt;="&amp;Q$2)/2+SUMIFS('Alle ruter'!$AC$3:$AC$98,'Alle ruter'!$Z$3:$Z$98,"H2",'Alle ruter'!$J$3:$J$98,$A55,'Alle ruter'!$AJ$3:$AJ$98,"&lt;="&amp;Q$2)/2</f>
        <v>0</v>
      </c>
      <c r="R55" s="3">
        <f>SUMIFS('Alle ruter'!$AC$3:$AC$98,'Alle ruter'!$Z$3:$Z$98,"H2",'Alle ruter'!$I$3:$I$98,$A55,'Alle ruter'!$AJ$3:$AJ$98,"&lt;="&amp;R$2)/2+SUMIFS('Alle ruter'!$AC$3:$AC$98,'Alle ruter'!$Z$3:$Z$98,"H2",'Alle ruter'!$J$3:$J$98,$A55,'Alle ruter'!$AJ$3:$AJ$98,"&lt;="&amp;R$2)/2</f>
        <v>0</v>
      </c>
      <c r="S55" s="3">
        <f>SUMIFS('Alle ruter'!$AC$3:$AC$98,'Alle ruter'!$Z$3:$Z$98,"H2",'Alle ruter'!$I$3:$I$98,$A55,'Alle ruter'!$AJ$3:$AJ$98,"&lt;="&amp;S$2)/2+SUMIFS('Alle ruter'!$AC$3:$AC$98,'Alle ruter'!$Z$3:$Z$98,"H2",'Alle ruter'!$J$3:$J$98,$A55,'Alle ruter'!$AJ$3:$AJ$98,"&lt;="&amp;S$2)/2</f>
        <v>0</v>
      </c>
      <c r="T55" s="3"/>
    </row>
    <row r="56" spans="1:20" x14ac:dyDescent="0.3">
      <c r="A56" t="s">
        <v>158</v>
      </c>
      <c r="B56" s="5" t="s">
        <v>15</v>
      </c>
      <c r="C56" s="3">
        <f>COUNTIF('Alle ruter'!$I$3:$I$98,'H2 pr endeplass'!A56)+COUNTIFS('Alle ruter'!$J$3:$J$98,'H2 pr endeplass'!A56,'Alle ruter'!$K$3:$K$98,"Nei")</f>
        <v>1</v>
      </c>
      <c r="D56" s="3">
        <f>COUNTIFS('Alle ruter'!$I$3:$I$98,'H2 pr endeplass'!A56,'Alle ruter'!$Z$3:$Z$98,"H2")+COUNTIFS('Alle ruter'!$J$3:$J$98,'H2 pr endeplass'!A56,'Alle ruter'!$K$3:$K$98,"Nei",'Alle ruter'!$Z$3:$Z$98,"H2")</f>
        <v>0</v>
      </c>
      <c r="E56">
        <v>0</v>
      </c>
      <c r="F56" s="3">
        <f>SUMIFS('Alle ruter'!$AC$3:$AC$98,'Alle ruter'!$Z$3:$Z$98,"H2",'Alle ruter'!$I$3:$I$98,$A56,'Alle ruter'!$AJ$3:$AJ$98,"&lt;="&amp;F$2)/2+SUMIFS('Alle ruter'!$AC$3:$AC$98,'Alle ruter'!$Z$3:$Z$98,"H2",'Alle ruter'!$J$3:$J$98,$A56,'Alle ruter'!$AJ$3:$AJ$98,"&lt;="&amp;F$2)/2</f>
        <v>0</v>
      </c>
      <c r="G56" s="3">
        <f>SUMIFS('Alle ruter'!$AC$3:$AC$98,'Alle ruter'!$Z$3:$Z$98,"H2",'Alle ruter'!$I$3:$I$98,$A56,'Alle ruter'!$AJ$3:$AJ$98,"&lt;="&amp;G$2)/2+SUMIFS('Alle ruter'!$AC$3:$AC$98,'Alle ruter'!$Z$3:$Z$98,"H2",'Alle ruter'!$J$3:$J$98,$A56,'Alle ruter'!$AJ$3:$AJ$98,"&lt;="&amp;G$2)/2</f>
        <v>0</v>
      </c>
      <c r="H56" s="3">
        <f>SUMIFS('Alle ruter'!$AC$3:$AC$98,'Alle ruter'!$Z$3:$Z$98,"H2",'Alle ruter'!$I$3:$I$98,$A56,'Alle ruter'!$AJ$3:$AJ$98,"&lt;="&amp;H$2)/2+SUMIFS('Alle ruter'!$AC$3:$AC$98,'Alle ruter'!$Z$3:$Z$98,"H2",'Alle ruter'!$J$3:$J$98,$A56,'Alle ruter'!$AJ$3:$AJ$98,"&lt;="&amp;H$2)/2</f>
        <v>0</v>
      </c>
      <c r="I56" s="3">
        <f>SUMIFS('Alle ruter'!$AC$3:$AC$98,'Alle ruter'!$Z$3:$Z$98,"H2",'Alle ruter'!$I$3:$I$98,$A56,'Alle ruter'!$AJ$3:$AJ$98,"&lt;="&amp;I$2)/2+SUMIFS('Alle ruter'!$AC$3:$AC$98,'Alle ruter'!$Z$3:$Z$98,"H2",'Alle ruter'!$J$3:$J$98,$A56,'Alle ruter'!$AJ$3:$AJ$98,"&lt;="&amp;I$2)/2</f>
        <v>0</v>
      </c>
      <c r="J56" s="3">
        <f>SUMIFS('Alle ruter'!$AC$3:$AC$98,'Alle ruter'!$Z$3:$Z$98,"H2",'Alle ruter'!$I$3:$I$98,$A56,'Alle ruter'!$AJ$3:$AJ$98,"&lt;="&amp;J$2)/2+SUMIFS('Alle ruter'!$AC$3:$AC$98,'Alle ruter'!$Z$3:$Z$98,"H2",'Alle ruter'!$J$3:$J$98,$A56,'Alle ruter'!$AJ$3:$AJ$98,"&lt;="&amp;J$2)/2</f>
        <v>0</v>
      </c>
      <c r="K56" s="3">
        <f>SUMIFS('Alle ruter'!$AC$3:$AC$98,'Alle ruter'!$Z$3:$Z$98,"H2",'Alle ruter'!$I$3:$I$98,$A56,'Alle ruter'!$AJ$3:$AJ$98,"&lt;="&amp;K$2)/2+SUMIFS('Alle ruter'!$AC$3:$AC$98,'Alle ruter'!$Z$3:$Z$98,"H2",'Alle ruter'!$J$3:$J$98,$A56,'Alle ruter'!$AJ$3:$AJ$98,"&lt;="&amp;K$2)/2</f>
        <v>0</v>
      </c>
      <c r="L56" s="3">
        <f>SUMIFS('Alle ruter'!$AC$3:$AC$98,'Alle ruter'!$Z$3:$Z$98,"H2",'Alle ruter'!$I$3:$I$98,$A56,'Alle ruter'!$AJ$3:$AJ$98,"&lt;="&amp;L$2)/2+SUMIFS('Alle ruter'!$AC$3:$AC$98,'Alle ruter'!$Z$3:$Z$98,"H2",'Alle ruter'!$J$3:$J$98,$A56,'Alle ruter'!$AJ$3:$AJ$98,"&lt;="&amp;L$2)/2</f>
        <v>0</v>
      </c>
      <c r="M56" s="3">
        <f>SUMIFS('Alle ruter'!$AC$3:$AC$98,'Alle ruter'!$Z$3:$Z$98,"H2",'Alle ruter'!$I$3:$I$98,$A56,'Alle ruter'!$AJ$3:$AJ$98,"&lt;="&amp;M$2)/2+SUMIFS('Alle ruter'!$AC$3:$AC$98,'Alle ruter'!$Z$3:$Z$98,"H2",'Alle ruter'!$J$3:$J$98,$A56,'Alle ruter'!$AJ$3:$AJ$98,"&lt;="&amp;M$2)/2</f>
        <v>0</v>
      </c>
      <c r="N56" s="3">
        <f>SUMIFS('Alle ruter'!$AC$3:$AC$98,'Alle ruter'!$Z$3:$Z$98,"H2",'Alle ruter'!$I$3:$I$98,$A56,'Alle ruter'!$AJ$3:$AJ$98,"&lt;="&amp;N$2)/2+SUMIFS('Alle ruter'!$AC$3:$AC$98,'Alle ruter'!$Z$3:$Z$98,"H2",'Alle ruter'!$J$3:$J$98,$A56,'Alle ruter'!$AJ$3:$AJ$98,"&lt;="&amp;N$2)/2</f>
        <v>0</v>
      </c>
      <c r="O56" s="3">
        <f>SUMIFS('Alle ruter'!$AC$3:$AC$98,'Alle ruter'!$Z$3:$Z$98,"H2",'Alle ruter'!$I$3:$I$98,$A56,'Alle ruter'!$AJ$3:$AJ$98,"&lt;="&amp;O$2)/2+SUMIFS('Alle ruter'!$AC$3:$AC$98,'Alle ruter'!$Z$3:$Z$98,"H2",'Alle ruter'!$J$3:$J$98,$A56,'Alle ruter'!$AJ$3:$AJ$98,"&lt;="&amp;O$2)/2</f>
        <v>0</v>
      </c>
      <c r="P56" s="3">
        <f>SUMIFS('Alle ruter'!$AC$3:$AC$98,'Alle ruter'!$Z$3:$Z$98,"H2",'Alle ruter'!$I$3:$I$98,$A56,'Alle ruter'!$AJ$3:$AJ$98,"&lt;="&amp;P$2)/2+SUMIFS('Alle ruter'!$AC$3:$AC$98,'Alle ruter'!$Z$3:$Z$98,"H2",'Alle ruter'!$J$3:$J$98,$A56,'Alle ruter'!$AJ$3:$AJ$98,"&lt;="&amp;P$2)/2</f>
        <v>0</v>
      </c>
      <c r="Q56" s="3">
        <f>SUMIFS('Alle ruter'!$AC$3:$AC$98,'Alle ruter'!$Z$3:$Z$98,"H2",'Alle ruter'!$I$3:$I$98,$A56,'Alle ruter'!$AJ$3:$AJ$98,"&lt;="&amp;Q$2)/2+SUMIFS('Alle ruter'!$AC$3:$AC$98,'Alle ruter'!$Z$3:$Z$98,"H2",'Alle ruter'!$J$3:$J$98,$A56,'Alle ruter'!$AJ$3:$AJ$98,"&lt;="&amp;Q$2)/2</f>
        <v>0</v>
      </c>
      <c r="R56" s="3">
        <f>SUMIFS('Alle ruter'!$AC$3:$AC$98,'Alle ruter'!$Z$3:$Z$98,"H2",'Alle ruter'!$I$3:$I$98,$A56,'Alle ruter'!$AJ$3:$AJ$98,"&lt;="&amp;R$2)/2+SUMIFS('Alle ruter'!$AC$3:$AC$98,'Alle ruter'!$Z$3:$Z$98,"H2",'Alle ruter'!$J$3:$J$98,$A56,'Alle ruter'!$AJ$3:$AJ$98,"&lt;="&amp;R$2)/2</f>
        <v>0</v>
      </c>
      <c r="S56" s="3">
        <f>SUMIFS('Alle ruter'!$AC$3:$AC$98,'Alle ruter'!$Z$3:$Z$98,"H2",'Alle ruter'!$I$3:$I$98,$A56,'Alle ruter'!$AJ$3:$AJ$98,"&lt;="&amp;S$2)/2+SUMIFS('Alle ruter'!$AC$3:$AC$98,'Alle ruter'!$Z$3:$Z$98,"H2",'Alle ruter'!$J$3:$J$98,$A56,'Alle ruter'!$AJ$3:$AJ$98,"&lt;="&amp;S$2)/2</f>
        <v>0</v>
      </c>
      <c r="T56" s="3"/>
    </row>
    <row r="57" spans="1:20" x14ac:dyDescent="0.3">
      <c r="A57" t="s">
        <v>186</v>
      </c>
      <c r="B57" t="s">
        <v>388</v>
      </c>
      <c r="C57" s="3">
        <f>COUNTIF('Alle ruter'!$I$3:$I$98,'H2 pr endeplass'!A57)+COUNTIFS('Alle ruter'!$J$3:$J$98,'H2 pr endeplass'!A57,'Alle ruter'!$K$3:$K$98,"Nei")</f>
        <v>1</v>
      </c>
      <c r="D57" s="3">
        <f>COUNTIFS('Alle ruter'!$I$3:$I$98,'H2 pr endeplass'!A57,'Alle ruter'!$Z$3:$Z$98,"H2")+COUNTIFS('Alle ruter'!$J$3:$J$98,'H2 pr endeplass'!A57,'Alle ruter'!$K$3:$K$98,"Nei",'Alle ruter'!$Z$3:$Z$98,"H2")</f>
        <v>0</v>
      </c>
      <c r="E57">
        <v>0</v>
      </c>
      <c r="F57" s="3">
        <f>SUMIFS('Alle ruter'!$AC$3:$AC$98,'Alle ruter'!$Z$3:$Z$98,"H2",'Alle ruter'!$I$3:$I$98,$A57,'Alle ruter'!$AJ$3:$AJ$98,"&lt;="&amp;F$2)/2+SUMIFS('Alle ruter'!$AC$3:$AC$98,'Alle ruter'!$Z$3:$Z$98,"H2",'Alle ruter'!$J$3:$J$98,$A57,'Alle ruter'!$AJ$3:$AJ$98,"&lt;="&amp;F$2)/2</f>
        <v>0</v>
      </c>
      <c r="G57" s="3">
        <f>SUMIFS('Alle ruter'!$AC$3:$AC$98,'Alle ruter'!$Z$3:$Z$98,"H2",'Alle ruter'!$I$3:$I$98,$A57,'Alle ruter'!$AJ$3:$AJ$98,"&lt;="&amp;G$2)/2+SUMIFS('Alle ruter'!$AC$3:$AC$98,'Alle ruter'!$Z$3:$Z$98,"H2",'Alle ruter'!$J$3:$J$98,$A57,'Alle ruter'!$AJ$3:$AJ$98,"&lt;="&amp;G$2)/2</f>
        <v>0</v>
      </c>
      <c r="H57" s="3">
        <f>SUMIFS('Alle ruter'!$AC$3:$AC$98,'Alle ruter'!$Z$3:$Z$98,"H2",'Alle ruter'!$I$3:$I$98,$A57,'Alle ruter'!$AJ$3:$AJ$98,"&lt;="&amp;H$2)/2+SUMIFS('Alle ruter'!$AC$3:$AC$98,'Alle ruter'!$Z$3:$Z$98,"H2",'Alle ruter'!$J$3:$J$98,$A57,'Alle ruter'!$AJ$3:$AJ$98,"&lt;="&amp;H$2)/2</f>
        <v>0</v>
      </c>
      <c r="I57" s="3">
        <f>SUMIFS('Alle ruter'!$AC$3:$AC$98,'Alle ruter'!$Z$3:$Z$98,"H2",'Alle ruter'!$I$3:$I$98,$A57,'Alle ruter'!$AJ$3:$AJ$98,"&lt;="&amp;I$2)/2+SUMIFS('Alle ruter'!$AC$3:$AC$98,'Alle ruter'!$Z$3:$Z$98,"H2",'Alle ruter'!$J$3:$J$98,$A57,'Alle ruter'!$AJ$3:$AJ$98,"&lt;="&amp;I$2)/2</f>
        <v>0</v>
      </c>
      <c r="J57" s="3">
        <f>SUMIFS('Alle ruter'!$AC$3:$AC$98,'Alle ruter'!$Z$3:$Z$98,"H2",'Alle ruter'!$I$3:$I$98,$A57,'Alle ruter'!$AJ$3:$AJ$98,"&lt;="&amp;J$2)/2+SUMIFS('Alle ruter'!$AC$3:$AC$98,'Alle ruter'!$Z$3:$Z$98,"H2",'Alle ruter'!$J$3:$J$98,$A57,'Alle ruter'!$AJ$3:$AJ$98,"&lt;="&amp;J$2)/2</f>
        <v>0</v>
      </c>
      <c r="K57" s="3">
        <f>SUMIFS('Alle ruter'!$AC$3:$AC$98,'Alle ruter'!$Z$3:$Z$98,"H2",'Alle ruter'!$I$3:$I$98,$A57,'Alle ruter'!$AJ$3:$AJ$98,"&lt;="&amp;K$2)/2+SUMIFS('Alle ruter'!$AC$3:$AC$98,'Alle ruter'!$Z$3:$Z$98,"H2",'Alle ruter'!$J$3:$J$98,$A57,'Alle ruter'!$AJ$3:$AJ$98,"&lt;="&amp;K$2)/2</f>
        <v>0</v>
      </c>
      <c r="L57" s="3">
        <f>SUMIFS('Alle ruter'!$AC$3:$AC$98,'Alle ruter'!$Z$3:$Z$98,"H2",'Alle ruter'!$I$3:$I$98,$A57,'Alle ruter'!$AJ$3:$AJ$98,"&lt;="&amp;L$2)/2+SUMIFS('Alle ruter'!$AC$3:$AC$98,'Alle ruter'!$Z$3:$Z$98,"H2",'Alle ruter'!$J$3:$J$98,$A57,'Alle ruter'!$AJ$3:$AJ$98,"&lt;="&amp;L$2)/2</f>
        <v>0</v>
      </c>
      <c r="M57" s="3">
        <f>SUMIFS('Alle ruter'!$AC$3:$AC$98,'Alle ruter'!$Z$3:$Z$98,"H2",'Alle ruter'!$I$3:$I$98,$A57,'Alle ruter'!$AJ$3:$AJ$98,"&lt;="&amp;M$2)/2+SUMIFS('Alle ruter'!$AC$3:$AC$98,'Alle ruter'!$Z$3:$Z$98,"H2",'Alle ruter'!$J$3:$J$98,$A57,'Alle ruter'!$AJ$3:$AJ$98,"&lt;="&amp;M$2)/2</f>
        <v>0</v>
      </c>
      <c r="N57" s="3">
        <f>SUMIFS('Alle ruter'!$AC$3:$AC$98,'Alle ruter'!$Z$3:$Z$98,"H2",'Alle ruter'!$I$3:$I$98,$A57,'Alle ruter'!$AJ$3:$AJ$98,"&lt;="&amp;N$2)/2+SUMIFS('Alle ruter'!$AC$3:$AC$98,'Alle ruter'!$Z$3:$Z$98,"H2",'Alle ruter'!$J$3:$J$98,$A57,'Alle ruter'!$AJ$3:$AJ$98,"&lt;="&amp;N$2)/2</f>
        <v>0</v>
      </c>
      <c r="O57" s="3">
        <f>SUMIFS('Alle ruter'!$AC$3:$AC$98,'Alle ruter'!$Z$3:$Z$98,"H2",'Alle ruter'!$I$3:$I$98,$A57,'Alle ruter'!$AJ$3:$AJ$98,"&lt;="&amp;O$2)/2+SUMIFS('Alle ruter'!$AC$3:$AC$98,'Alle ruter'!$Z$3:$Z$98,"H2",'Alle ruter'!$J$3:$J$98,$A57,'Alle ruter'!$AJ$3:$AJ$98,"&lt;="&amp;O$2)/2</f>
        <v>0</v>
      </c>
      <c r="P57" s="3">
        <f>SUMIFS('Alle ruter'!$AC$3:$AC$98,'Alle ruter'!$Z$3:$Z$98,"H2",'Alle ruter'!$I$3:$I$98,$A57,'Alle ruter'!$AJ$3:$AJ$98,"&lt;="&amp;P$2)/2+SUMIFS('Alle ruter'!$AC$3:$AC$98,'Alle ruter'!$Z$3:$Z$98,"H2",'Alle ruter'!$J$3:$J$98,$A57,'Alle ruter'!$AJ$3:$AJ$98,"&lt;="&amp;P$2)/2</f>
        <v>0</v>
      </c>
      <c r="Q57" s="3">
        <f>SUMIFS('Alle ruter'!$AC$3:$AC$98,'Alle ruter'!$Z$3:$Z$98,"H2",'Alle ruter'!$I$3:$I$98,$A57,'Alle ruter'!$AJ$3:$AJ$98,"&lt;="&amp;Q$2)/2+SUMIFS('Alle ruter'!$AC$3:$AC$98,'Alle ruter'!$Z$3:$Z$98,"H2",'Alle ruter'!$J$3:$J$98,$A57,'Alle ruter'!$AJ$3:$AJ$98,"&lt;="&amp;Q$2)/2</f>
        <v>0</v>
      </c>
      <c r="R57" s="3">
        <f>SUMIFS('Alle ruter'!$AC$3:$AC$98,'Alle ruter'!$Z$3:$Z$98,"H2",'Alle ruter'!$I$3:$I$98,$A57,'Alle ruter'!$AJ$3:$AJ$98,"&lt;="&amp;R$2)/2+SUMIFS('Alle ruter'!$AC$3:$AC$98,'Alle ruter'!$Z$3:$Z$98,"H2",'Alle ruter'!$J$3:$J$98,$A57,'Alle ruter'!$AJ$3:$AJ$98,"&lt;="&amp;R$2)/2</f>
        <v>0</v>
      </c>
      <c r="S57" s="3">
        <f>SUMIFS('Alle ruter'!$AC$3:$AC$98,'Alle ruter'!$Z$3:$Z$98,"H2",'Alle ruter'!$I$3:$I$98,$A57,'Alle ruter'!$AJ$3:$AJ$98,"&lt;="&amp;S$2)/2+SUMIFS('Alle ruter'!$AC$3:$AC$98,'Alle ruter'!$Z$3:$Z$98,"H2",'Alle ruter'!$J$3:$J$98,$A57,'Alle ruter'!$AJ$3:$AJ$98,"&lt;="&amp;S$2)/2</f>
        <v>0</v>
      </c>
      <c r="T57" s="3"/>
    </row>
    <row r="58" spans="1:20" x14ac:dyDescent="0.3">
      <c r="A58" t="s">
        <v>187</v>
      </c>
      <c r="B58" t="s">
        <v>388</v>
      </c>
      <c r="C58" s="3">
        <f>COUNTIF('Alle ruter'!$I$3:$I$98,'H2 pr endeplass'!A58)+COUNTIFS('Alle ruter'!$J$3:$J$98,'H2 pr endeplass'!A58,'Alle ruter'!$K$3:$K$98,"Nei")</f>
        <v>1</v>
      </c>
      <c r="D58" s="3">
        <f>COUNTIFS('Alle ruter'!$I$3:$I$98,'H2 pr endeplass'!A58,'Alle ruter'!$Z$3:$Z$98,"H2")+COUNTIFS('Alle ruter'!$J$3:$J$98,'H2 pr endeplass'!A58,'Alle ruter'!$K$3:$K$98,"Nei",'Alle ruter'!$Z$3:$Z$98,"H2")</f>
        <v>0</v>
      </c>
      <c r="E58">
        <v>0</v>
      </c>
      <c r="F58" s="3">
        <f>SUMIFS('Alle ruter'!$AC$3:$AC$98,'Alle ruter'!$Z$3:$Z$98,"H2",'Alle ruter'!$I$3:$I$98,$A58,'Alle ruter'!$AJ$3:$AJ$98,"&lt;="&amp;F$2)/2+SUMIFS('Alle ruter'!$AC$3:$AC$98,'Alle ruter'!$Z$3:$Z$98,"H2",'Alle ruter'!$J$3:$J$98,$A58,'Alle ruter'!$AJ$3:$AJ$98,"&lt;="&amp;F$2)/2</f>
        <v>0</v>
      </c>
      <c r="G58" s="3">
        <f>SUMIFS('Alle ruter'!$AC$3:$AC$98,'Alle ruter'!$Z$3:$Z$98,"H2",'Alle ruter'!$I$3:$I$98,$A58,'Alle ruter'!$AJ$3:$AJ$98,"&lt;="&amp;G$2)/2+SUMIFS('Alle ruter'!$AC$3:$AC$98,'Alle ruter'!$Z$3:$Z$98,"H2",'Alle ruter'!$J$3:$J$98,$A58,'Alle ruter'!$AJ$3:$AJ$98,"&lt;="&amp;G$2)/2</f>
        <v>0</v>
      </c>
      <c r="H58" s="3">
        <f>SUMIFS('Alle ruter'!$AC$3:$AC$98,'Alle ruter'!$Z$3:$Z$98,"H2",'Alle ruter'!$I$3:$I$98,$A58,'Alle ruter'!$AJ$3:$AJ$98,"&lt;="&amp;H$2)/2+SUMIFS('Alle ruter'!$AC$3:$AC$98,'Alle ruter'!$Z$3:$Z$98,"H2",'Alle ruter'!$J$3:$J$98,$A58,'Alle ruter'!$AJ$3:$AJ$98,"&lt;="&amp;H$2)/2</f>
        <v>0</v>
      </c>
      <c r="I58" s="3">
        <f>SUMIFS('Alle ruter'!$AC$3:$AC$98,'Alle ruter'!$Z$3:$Z$98,"H2",'Alle ruter'!$I$3:$I$98,$A58,'Alle ruter'!$AJ$3:$AJ$98,"&lt;="&amp;I$2)/2+SUMIFS('Alle ruter'!$AC$3:$AC$98,'Alle ruter'!$Z$3:$Z$98,"H2",'Alle ruter'!$J$3:$J$98,$A58,'Alle ruter'!$AJ$3:$AJ$98,"&lt;="&amp;I$2)/2</f>
        <v>0</v>
      </c>
      <c r="J58" s="3">
        <f>SUMIFS('Alle ruter'!$AC$3:$AC$98,'Alle ruter'!$Z$3:$Z$98,"H2",'Alle ruter'!$I$3:$I$98,$A58,'Alle ruter'!$AJ$3:$AJ$98,"&lt;="&amp;J$2)/2+SUMIFS('Alle ruter'!$AC$3:$AC$98,'Alle ruter'!$Z$3:$Z$98,"H2",'Alle ruter'!$J$3:$J$98,$A58,'Alle ruter'!$AJ$3:$AJ$98,"&lt;="&amp;J$2)/2</f>
        <v>0</v>
      </c>
      <c r="K58" s="3">
        <f>SUMIFS('Alle ruter'!$AC$3:$AC$98,'Alle ruter'!$Z$3:$Z$98,"H2",'Alle ruter'!$I$3:$I$98,$A58,'Alle ruter'!$AJ$3:$AJ$98,"&lt;="&amp;K$2)/2+SUMIFS('Alle ruter'!$AC$3:$AC$98,'Alle ruter'!$Z$3:$Z$98,"H2",'Alle ruter'!$J$3:$J$98,$A58,'Alle ruter'!$AJ$3:$AJ$98,"&lt;="&amp;K$2)/2</f>
        <v>0</v>
      </c>
      <c r="L58" s="3">
        <f>SUMIFS('Alle ruter'!$AC$3:$AC$98,'Alle ruter'!$Z$3:$Z$98,"H2",'Alle ruter'!$I$3:$I$98,$A58,'Alle ruter'!$AJ$3:$AJ$98,"&lt;="&amp;L$2)/2+SUMIFS('Alle ruter'!$AC$3:$AC$98,'Alle ruter'!$Z$3:$Z$98,"H2",'Alle ruter'!$J$3:$J$98,$A58,'Alle ruter'!$AJ$3:$AJ$98,"&lt;="&amp;L$2)/2</f>
        <v>0</v>
      </c>
      <c r="M58" s="3">
        <f>SUMIFS('Alle ruter'!$AC$3:$AC$98,'Alle ruter'!$Z$3:$Z$98,"H2",'Alle ruter'!$I$3:$I$98,$A58,'Alle ruter'!$AJ$3:$AJ$98,"&lt;="&amp;M$2)/2+SUMIFS('Alle ruter'!$AC$3:$AC$98,'Alle ruter'!$Z$3:$Z$98,"H2",'Alle ruter'!$J$3:$J$98,$A58,'Alle ruter'!$AJ$3:$AJ$98,"&lt;="&amp;M$2)/2</f>
        <v>0</v>
      </c>
      <c r="N58" s="3">
        <f>SUMIFS('Alle ruter'!$AC$3:$AC$98,'Alle ruter'!$Z$3:$Z$98,"H2",'Alle ruter'!$I$3:$I$98,$A58,'Alle ruter'!$AJ$3:$AJ$98,"&lt;="&amp;N$2)/2+SUMIFS('Alle ruter'!$AC$3:$AC$98,'Alle ruter'!$Z$3:$Z$98,"H2",'Alle ruter'!$J$3:$J$98,$A58,'Alle ruter'!$AJ$3:$AJ$98,"&lt;="&amp;N$2)/2</f>
        <v>0</v>
      </c>
      <c r="O58" s="3">
        <f>SUMIFS('Alle ruter'!$AC$3:$AC$98,'Alle ruter'!$Z$3:$Z$98,"H2",'Alle ruter'!$I$3:$I$98,$A58,'Alle ruter'!$AJ$3:$AJ$98,"&lt;="&amp;O$2)/2+SUMIFS('Alle ruter'!$AC$3:$AC$98,'Alle ruter'!$Z$3:$Z$98,"H2",'Alle ruter'!$J$3:$J$98,$A58,'Alle ruter'!$AJ$3:$AJ$98,"&lt;="&amp;O$2)/2</f>
        <v>0</v>
      </c>
      <c r="P58" s="3">
        <f>SUMIFS('Alle ruter'!$AC$3:$AC$98,'Alle ruter'!$Z$3:$Z$98,"H2",'Alle ruter'!$I$3:$I$98,$A58,'Alle ruter'!$AJ$3:$AJ$98,"&lt;="&amp;P$2)/2+SUMIFS('Alle ruter'!$AC$3:$AC$98,'Alle ruter'!$Z$3:$Z$98,"H2",'Alle ruter'!$J$3:$J$98,$A58,'Alle ruter'!$AJ$3:$AJ$98,"&lt;="&amp;P$2)/2</f>
        <v>0</v>
      </c>
      <c r="Q58" s="3">
        <f>SUMIFS('Alle ruter'!$AC$3:$AC$98,'Alle ruter'!$Z$3:$Z$98,"H2",'Alle ruter'!$I$3:$I$98,$A58,'Alle ruter'!$AJ$3:$AJ$98,"&lt;="&amp;Q$2)/2+SUMIFS('Alle ruter'!$AC$3:$AC$98,'Alle ruter'!$Z$3:$Z$98,"H2",'Alle ruter'!$J$3:$J$98,$A58,'Alle ruter'!$AJ$3:$AJ$98,"&lt;="&amp;Q$2)/2</f>
        <v>0</v>
      </c>
      <c r="R58" s="3">
        <f>SUMIFS('Alle ruter'!$AC$3:$AC$98,'Alle ruter'!$Z$3:$Z$98,"H2",'Alle ruter'!$I$3:$I$98,$A58,'Alle ruter'!$AJ$3:$AJ$98,"&lt;="&amp;R$2)/2+SUMIFS('Alle ruter'!$AC$3:$AC$98,'Alle ruter'!$Z$3:$Z$98,"H2",'Alle ruter'!$J$3:$J$98,$A58,'Alle ruter'!$AJ$3:$AJ$98,"&lt;="&amp;R$2)/2</f>
        <v>0</v>
      </c>
      <c r="S58" s="3">
        <f>SUMIFS('Alle ruter'!$AC$3:$AC$98,'Alle ruter'!$Z$3:$Z$98,"H2",'Alle ruter'!$I$3:$I$98,$A58,'Alle ruter'!$AJ$3:$AJ$98,"&lt;="&amp;S$2)/2+SUMIFS('Alle ruter'!$AC$3:$AC$98,'Alle ruter'!$Z$3:$Z$98,"H2",'Alle ruter'!$J$3:$J$98,$A58,'Alle ruter'!$AJ$3:$AJ$98,"&lt;="&amp;S$2)/2</f>
        <v>0</v>
      </c>
      <c r="T58" s="3"/>
    </row>
    <row r="59" spans="1:20" x14ac:dyDescent="0.3">
      <c r="A59" t="s">
        <v>169</v>
      </c>
      <c r="B59" t="s">
        <v>19</v>
      </c>
      <c r="C59" s="3">
        <f>COUNTIF('Alle ruter'!$I$3:$I$98,'H2 pr endeplass'!A59)+COUNTIFS('Alle ruter'!$J$3:$J$98,'H2 pr endeplass'!A59,'Alle ruter'!$K$3:$K$98,"Nei")</f>
        <v>1</v>
      </c>
      <c r="D59" s="3">
        <f>COUNTIFS('Alle ruter'!$I$3:$I$98,'H2 pr endeplass'!A59,'Alle ruter'!$Z$3:$Z$98,"H2")+COUNTIFS('Alle ruter'!$J$3:$J$98,'H2 pr endeplass'!A59,'Alle ruter'!$K$3:$K$98,"Nei",'Alle ruter'!$Z$3:$Z$98,"H2")</f>
        <v>0</v>
      </c>
      <c r="E59">
        <v>0</v>
      </c>
      <c r="F59" s="3">
        <f>SUMIFS('Alle ruter'!$AC$3:$AC$98,'Alle ruter'!$Z$3:$Z$98,"H2",'Alle ruter'!$I$3:$I$98,$A59,'Alle ruter'!$AJ$3:$AJ$98,"&lt;="&amp;F$2)/2+SUMIFS('Alle ruter'!$AC$3:$AC$98,'Alle ruter'!$Z$3:$Z$98,"H2",'Alle ruter'!$J$3:$J$98,$A59,'Alle ruter'!$AJ$3:$AJ$98,"&lt;="&amp;F$2)/2</f>
        <v>0</v>
      </c>
      <c r="G59" s="3">
        <f>SUMIFS('Alle ruter'!$AC$3:$AC$98,'Alle ruter'!$Z$3:$Z$98,"H2",'Alle ruter'!$I$3:$I$98,$A59,'Alle ruter'!$AJ$3:$AJ$98,"&lt;="&amp;G$2)/2+SUMIFS('Alle ruter'!$AC$3:$AC$98,'Alle ruter'!$Z$3:$Z$98,"H2",'Alle ruter'!$J$3:$J$98,$A59,'Alle ruter'!$AJ$3:$AJ$98,"&lt;="&amp;G$2)/2</f>
        <v>0</v>
      </c>
      <c r="H59" s="3">
        <f>SUMIFS('Alle ruter'!$AC$3:$AC$98,'Alle ruter'!$Z$3:$Z$98,"H2",'Alle ruter'!$I$3:$I$98,$A59,'Alle ruter'!$AJ$3:$AJ$98,"&lt;="&amp;H$2)/2+SUMIFS('Alle ruter'!$AC$3:$AC$98,'Alle ruter'!$Z$3:$Z$98,"H2",'Alle ruter'!$J$3:$J$98,$A59,'Alle ruter'!$AJ$3:$AJ$98,"&lt;="&amp;H$2)/2</f>
        <v>0</v>
      </c>
      <c r="I59" s="3">
        <f>SUMIFS('Alle ruter'!$AC$3:$AC$98,'Alle ruter'!$Z$3:$Z$98,"H2",'Alle ruter'!$I$3:$I$98,$A59,'Alle ruter'!$AJ$3:$AJ$98,"&lt;="&amp;I$2)/2+SUMIFS('Alle ruter'!$AC$3:$AC$98,'Alle ruter'!$Z$3:$Z$98,"H2",'Alle ruter'!$J$3:$J$98,$A59,'Alle ruter'!$AJ$3:$AJ$98,"&lt;="&amp;I$2)/2</f>
        <v>0</v>
      </c>
      <c r="J59" s="3">
        <f>SUMIFS('Alle ruter'!$AC$3:$AC$98,'Alle ruter'!$Z$3:$Z$98,"H2",'Alle ruter'!$I$3:$I$98,$A59,'Alle ruter'!$AJ$3:$AJ$98,"&lt;="&amp;J$2)/2+SUMIFS('Alle ruter'!$AC$3:$AC$98,'Alle ruter'!$Z$3:$Z$98,"H2",'Alle ruter'!$J$3:$J$98,$A59,'Alle ruter'!$AJ$3:$AJ$98,"&lt;="&amp;J$2)/2</f>
        <v>0</v>
      </c>
      <c r="K59" s="3">
        <f>SUMIFS('Alle ruter'!$AC$3:$AC$98,'Alle ruter'!$Z$3:$Z$98,"H2",'Alle ruter'!$I$3:$I$98,$A59,'Alle ruter'!$AJ$3:$AJ$98,"&lt;="&amp;K$2)/2+SUMIFS('Alle ruter'!$AC$3:$AC$98,'Alle ruter'!$Z$3:$Z$98,"H2",'Alle ruter'!$J$3:$J$98,$A59,'Alle ruter'!$AJ$3:$AJ$98,"&lt;="&amp;K$2)/2</f>
        <v>0</v>
      </c>
      <c r="L59" s="3">
        <f>SUMIFS('Alle ruter'!$AC$3:$AC$98,'Alle ruter'!$Z$3:$Z$98,"H2",'Alle ruter'!$I$3:$I$98,$A59,'Alle ruter'!$AJ$3:$AJ$98,"&lt;="&amp;L$2)/2+SUMIFS('Alle ruter'!$AC$3:$AC$98,'Alle ruter'!$Z$3:$Z$98,"H2",'Alle ruter'!$J$3:$J$98,$A59,'Alle ruter'!$AJ$3:$AJ$98,"&lt;="&amp;L$2)/2</f>
        <v>0</v>
      </c>
      <c r="M59" s="3">
        <f>SUMIFS('Alle ruter'!$AC$3:$AC$98,'Alle ruter'!$Z$3:$Z$98,"H2",'Alle ruter'!$I$3:$I$98,$A59,'Alle ruter'!$AJ$3:$AJ$98,"&lt;="&amp;M$2)/2+SUMIFS('Alle ruter'!$AC$3:$AC$98,'Alle ruter'!$Z$3:$Z$98,"H2",'Alle ruter'!$J$3:$J$98,$A59,'Alle ruter'!$AJ$3:$AJ$98,"&lt;="&amp;M$2)/2</f>
        <v>0</v>
      </c>
      <c r="N59" s="3">
        <f>SUMIFS('Alle ruter'!$AC$3:$AC$98,'Alle ruter'!$Z$3:$Z$98,"H2",'Alle ruter'!$I$3:$I$98,$A59,'Alle ruter'!$AJ$3:$AJ$98,"&lt;="&amp;N$2)/2+SUMIFS('Alle ruter'!$AC$3:$AC$98,'Alle ruter'!$Z$3:$Z$98,"H2",'Alle ruter'!$J$3:$J$98,$A59,'Alle ruter'!$AJ$3:$AJ$98,"&lt;="&amp;N$2)/2</f>
        <v>0</v>
      </c>
      <c r="O59" s="3">
        <f>SUMIFS('Alle ruter'!$AC$3:$AC$98,'Alle ruter'!$Z$3:$Z$98,"H2",'Alle ruter'!$I$3:$I$98,$A59,'Alle ruter'!$AJ$3:$AJ$98,"&lt;="&amp;O$2)/2+SUMIFS('Alle ruter'!$AC$3:$AC$98,'Alle ruter'!$Z$3:$Z$98,"H2",'Alle ruter'!$J$3:$J$98,$A59,'Alle ruter'!$AJ$3:$AJ$98,"&lt;="&amp;O$2)/2</f>
        <v>0</v>
      </c>
      <c r="P59" s="3">
        <f>SUMIFS('Alle ruter'!$AC$3:$AC$98,'Alle ruter'!$Z$3:$Z$98,"H2",'Alle ruter'!$I$3:$I$98,$A59,'Alle ruter'!$AJ$3:$AJ$98,"&lt;="&amp;P$2)/2+SUMIFS('Alle ruter'!$AC$3:$AC$98,'Alle ruter'!$Z$3:$Z$98,"H2",'Alle ruter'!$J$3:$J$98,$A59,'Alle ruter'!$AJ$3:$AJ$98,"&lt;="&amp;P$2)/2</f>
        <v>0</v>
      </c>
      <c r="Q59" s="3">
        <f>SUMIFS('Alle ruter'!$AC$3:$AC$98,'Alle ruter'!$Z$3:$Z$98,"H2",'Alle ruter'!$I$3:$I$98,$A59,'Alle ruter'!$AJ$3:$AJ$98,"&lt;="&amp;Q$2)/2+SUMIFS('Alle ruter'!$AC$3:$AC$98,'Alle ruter'!$Z$3:$Z$98,"H2",'Alle ruter'!$J$3:$J$98,$A59,'Alle ruter'!$AJ$3:$AJ$98,"&lt;="&amp;Q$2)/2</f>
        <v>0</v>
      </c>
      <c r="R59" s="3">
        <f>SUMIFS('Alle ruter'!$AC$3:$AC$98,'Alle ruter'!$Z$3:$Z$98,"H2",'Alle ruter'!$I$3:$I$98,$A59,'Alle ruter'!$AJ$3:$AJ$98,"&lt;="&amp;R$2)/2+SUMIFS('Alle ruter'!$AC$3:$AC$98,'Alle ruter'!$Z$3:$Z$98,"H2",'Alle ruter'!$J$3:$J$98,$A59,'Alle ruter'!$AJ$3:$AJ$98,"&lt;="&amp;R$2)/2</f>
        <v>0</v>
      </c>
      <c r="S59" s="3">
        <f>SUMIFS('Alle ruter'!$AC$3:$AC$98,'Alle ruter'!$Z$3:$Z$98,"H2",'Alle ruter'!$I$3:$I$98,$A59,'Alle ruter'!$AJ$3:$AJ$98,"&lt;="&amp;S$2)/2+SUMIFS('Alle ruter'!$AC$3:$AC$98,'Alle ruter'!$Z$3:$Z$98,"H2",'Alle ruter'!$J$3:$J$98,$A59,'Alle ruter'!$AJ$3:$AJ$98,"&lt;="&amp;S$2)/2</f>
        <v>0</v>
      </c>
      <c r="T59" s="3"/>
    </row>
    <row r="60" spans="1:20" x14ac:dyDescent="0.3">
      <c r="A60" t="s">
        <v>162</v>
      </c>
      <c r="B60" s="5" t="s">
        <v>388</v>
      </c>
      <c r="C60" s="3">
        <f>COUNTIF('Alle ruter'!$I$3:$I$98,'H2 pr endeplass'!A60)+COUNTIFS('Alle ruter'!$J$3:$J$98,'H2 pr endeplass'!A60,'Alle ruter'!$K$3:$K$98,"Nei")</f>
        <v>1</v>
      </c>
      <c r="D60" s="3">
        <f>COUNTIFS('Alle ruter'!$I$3:$I$98,'H2 pr endeplass'!A60,'Alle ruter'!$Z$3:$Z$98,"H2")+COUNTIFS('Alle ruter'!$J$3:$J$98,'H2 pr endeplass'!A60,'Alle ruter'!$K$3:$K$98,"Nei",'Alle ruter'!$Z$3:$Z$98,"H2")</f>
        <v>0</v>
      </c>
      <c r="E60">
        <v>0</v>
      </c>
      <c r="F60" s="3">
        <f>SUMIFS('Alle ruter'!$AC$3:$AC$98,'Alle ruter'!$Z$3:$Z$98,"H2",'Alle ruter'!$I$3:$I$98,$A60,'Alle ruter'!$AJ$3:$AJ$98,"&lt;="&amp;F$2)/2+SUMIFS('Alle ruter'!$AC$3:$AC$98,'Alle ruter'!$Z$3:$Z$98,"H2",'Alle ruter'!$J$3:$J$98,$A60,'Alle ruter'!$AJ$3:$AJ$98,"&lt;="&amp;F$2)/2</f>
        <v>0</v>
      </c>
      <c r="G60" s="3">
        <f>SUMIFS('Alle ruter'!$AC$3:$AC$98,'Alle ruter'!$Z$3:$Z$98,"H2",'Alle ruter'!$I$3:$I$98,$A60,'Alle ruter'!$AJ$3:$AJ$98,"&lt;="&amp;G$2)/2+SUMIFS('Alle ruter'!$AC$3:$AC$98,'Alle ruter'!$Z$3:$Z$98,"H2",'Alle ruter'!$J$3:$J$98,$A60,'Alle ruter'!$AJ$3:$AJ$98,"&lt;="&amp;G$2)/2</f>
        <v>0</v>
      </c>
      <c r="H60" s="3">
        <f>SUMIFS('Alle ruter'!$AC$3:$AC$98,'Alle ruter'!$Z$3:$Z$98,"H2",'Alle ruter'!$I$3:$I$98,$A60,'Alle ruter'!$AJ$3:$AJ$98,"&lt;="&amp;H$2)/2+SUMIFS('Alle ruter'!$AC$3:$AC$98,'Alle ruter'!$Z$3:$Z$98,"H2",'Alle ruter'!$J$3:$J$98,$A60,'Alle ruter'!$AJ$3:$AJ$98,"&lt;="&amp;H$2)/2</f>
        <v>0</v>
      </c>
      <c r="I60" s="3">
        <f>SUMIFS('Alle ruter'!$AC$3:$AC$98,'Alle ruter'!$Z$3:$Z$98,"H2",'Alle ruter'!$I$3:$I$98,$A60,'Alle ruter'!$AJ$3:$AJ$98,"&lt;="&amp;I$2)/2+SUMIFS('Alle ruter'!$AC$3:$AC$98,'Alle ruter'!$Z$3:$Z$98,"H2",'Alle ruter'!$J$3:$J$98,$A60,'Alle ruter'!$AJ$3:$AJ$98,"&lt;="&amp;I$2)/2</f>
        <v>0</v>
      </c>
      <c r="J60" s="3">
        <f>SUMIFS('Alle ruter'!$AC$3:$AC$98,'Alle ruter'!$Z$3:$Z$98,"H2",'Alle ruter'!$I$3:$I$98,$A60,'Alle ruter'!$AJ$3:$AJ$98,"&lt;="&amp;J$2)/2+SUMIFS('Alle ruter'!$AC$3:$AC$98,'Alle ruter'!$Z$3:$Z$98,"H2",'Alle ruter'!$J$3:$J$98,$A60,'Alle ruter'!$AJ$3:$AJ$98,"&lt;="&amp;J$2)/2</f>
        <v>0</v>
      </c>
      <c r="K60" s="3">
        <f>SUMIFS('Alle ruter'!$AC$3:$AC$98,'Alle ruter'!$Z$3:$Z$98,"H2",'Alle ruter'!$I$3:$I$98,$A60,'Alle ruter'!$AJ$3:$AJ$98,"&lt;="&amp;K$2)/2+SUMIFS('Alle ruter'!$AC$3:$AC$98,'Alle ruter'!$Z$3:$Z$98,"H2",'Alle ruter'!$J$3:$J$98,$A60,'Alle ruter'!$AJ$3:$AJ$98,"&lt;="&amp;K$2)/2</f>
        <v>0</v>
      </c>
      <c r="L60" s="3">
        <f>SUMIFS('Alle ruter'!$AC$3:$AC$98,'Alle ruter'!$Z$3:$Z$98,"H2",'Alle ruter'!$I$3:$I$98,$A60,'Alle ruter'!$AJ$3:$AJ$98,"&lt;="&amp;L$2)/2+SUMIFS('Alle ruter'!$AC$3:$AC$98,'Alle ruter'!$Z$3:$Z$98,"H2",'Alle ruter'!$J$3:$J$98,$A60,'Alle ruter'!$AJ$3:$AJ$98,"&lt;="&amp;L$2)/2</f>
        <v>0</v>
      </c>
      <c r="M60" s="3">
        <f>SUMIFS('Alle ruter'!$AC$3:$AC$98,'Alle ruter'!$Z$3:$Z$98,"H2",'Alle ruter'!$I$3:$I$98,$A60,'Alle ruter'!$AJ$3:$AJ$98,"&lt;="&amp;M$2)/2+SUMIFS('Alle ruter'!$AC$3:$AC$98,'Alle ruter'!$Z$3:$Z$98,"H2",'Alle ruter'!$J$3:$J$98,$A60,'Alle ruter'!$AJ$3:$AJ$98,"&lt;="&amp;M$2)/2</f>
        <v>0</v>
      </c>
      <c r="N60" s="3">
        <f>SUMIFS('Alle ruter'!$AC$3:$AC$98,'Alle ruter'!$Z$3:$Z$98,"H2",'Alle ruter'!$I$3:$I$98,$A60,'Alle ruter'!$AJ$3:$AJ$98,"&lt;="&amp;N$2)/2+SUMIFS('Alle ruter'!$AC$3:$AC$98,'Alle ruter'!$Z$3:$Z$98,"H2",'Alle ruter'!$J$3:$J$98,$A60,'Alle ruter'!$AJ$3:$AJ$98,"&lt;="&amp;N$2)/2</f>
        <v>0</v>
      </c>
      <c r="O60" s="3">
        <f>SUMIFS('Alle ruter'!$AC$3:$AC$98,'Alle ruter'!$Z$3:$Z$98,"H2",'Alle ruter'!$I$3:$I$98,$A60,'Alle ruter'!$AJ$3:$AJ$98,"&lt;="&amp;O$2)/2+SUMIFS('Alle ruter'!$AC$3:$AC$98,'Alle ruter'!$Z$3:$Z$98,"H2",'Alle ruter'!$J$3:$J$98,$A60,'Alle ruter'!$AJ$3:$AJ$98,"&lt;="&amp;O$2)/2</f>
        <v>0</v>
      </c>
      <c r="P60" s="3">
        <f>SUMIFS('Alle ruter'!$AC$3:$AC$98,'Alle ruter'!$Z$3:$Z$98,"H2",'Alle ruter'!$I$3:$I$98,$A60,'Alle ruter'!$AJ$3:$AJ$98,"&lt;="&amp;P$2)/2+SUMIFS('Alle ruter'!$AC$3:$AC$98,'Alle ruter'!$Z$3:$Z$98,"H2",'Alle ruter'!$J$3:$J$98,$A60,'Alle ruter'!$AJ$3:$AJ$98,"&lt;="&amp;P$2)/2</f>
        <v>0</v>
      </c>
      <c r="Q60" s="3">
        <f>SUMIFS('Alle ruter'!$AC$3:$AC$98,'Alle ruter'!$Z$3:$Z$98,"H2",'Alle ruter'!$I$3:$I$98,$A60,'Alle ruter'!$AJ$3:$AJ$98,"&lt;="&amp;Q$2)/2+SUMIFS('Alle ruter'!$AC$3:$AC$98,'Alle ruter'!$Z$3:$Z$98,"H2",'Alle ruter'!$J$3:$J$98,$A60,'Alle ruter'!$AJ$3:$AJ$98,"&lt;="&amp;Q$2)/2</f>
        <v>0</v>
      </c>
      <c r="R60" s="3">
        <f>SUMIFS('Alle ruter'!$AC$3:$AC$98,'Alle ruter'!$Z$3:$Z$98,"H2",'Alle ruter'!$I$3:$I$98,$A60,'Alle ruter'!$AJ$3:$AJ$98,"&lt;="&amp;R$2)/2+SUMIFS('Alle ruter'!$AC$3:$AC$98,'Alle ruter'!$Z$3:$Z$98,"H2",'Alle ruter'!$J$3:$J$98,$A60,'Alle ruter'!$AJ$3:$AJ$98,"&lt;="&amp;R$2)/2</f>
        <v>0</v>
      </c>
      <c r="S60" s="3">
        <f>SUMIFS('Alle ruter'!$AC$3:$AC$98,'Alle ruter'!$Z$3:$Z$98,"H2",'Alle ruter'!$I$3:$I$98,$A60,'Alle ruter'!$AJ$3:$AJ$98,"&lt;="&amp;S$2)/2+SUMIFS('Alle ruter'!$AC$3:$AC$98,'Alle ruter'!$Z$3:$Z$98,"H2",'Alle ruter'!$J$3:$J$98,$A60,'Alle ruter'!$AJ$3:$AJ$98,"&lt;="&amp;S$2)/2</f>
        <v>0</v>
      </c>
      <c r="T60" s="3"/>
    </row>
    <row r="61" spans="1:20" x14ac:dyDescent="0.3">
      <c r="A61" t="s">
        <v>172</v>
      </c>
      <c r="B61" t="s">
        <v>15</v>
      </c>
      <c r="C61" s="3">
        <f>COUNTIF('Alle ruter'!$I$3:$I$98,'H2 pr endeplass'!A61)+COUNTIFS('Alle ruter'!$J$3:$J$98,'H2 pr endeplass'!A61,'Alle ruter'!$K$3:$K$98,"Nei")</f>
        <v>1</v>
      </c>
      <c r="D61" s="3">
        <f>COUNTIFS('Alle ruter'!$I$3:$I$98,'H2 pr endeplass'!A61,'Alle ruter'!$Z$3:$Z$98,"H2")+COUNTIFS('Alle ruter'!$J$3:$J$98,'H2 pr endeplass'!A61,'Alle ruter'!$K$3:$K$98,"Nei",'Alle ruter'!$Z$3:$Z$98,"H2")</f>
        <v>0</v>
      </c>
      <c r="E61">
        <v>0</v>
      </c>
      <c r="F61" s="3">
        <f>SUMIFS('Alle ruter'!$AC$3:$AC$98,'Alle ruter'!$Z$3:$Z$98,"H2",'Alle ruter'!$I$3:$I$98,$A61,'Alle ruter'!$AJ$3:$AJ$98,"&lt;="&amp;F$2)/2+SUMIFS('Alle ruter'!$AC$3:$AC$98,'Alle ruter'!$Z$3:$Z$98,"H2",'Alle ruter'!$J$3:$J$98,$A61,'Alle ruter'!$AJ$3:$AJ$98,"&lt;="&amp;F$2)/2</f>
        <v>0</v>
      </c>
      <c r="G61" s="3">
        <f>SUMIFS('Alle ruter'!$AC$3:$AC$98,'Alle ruter'!$Z$3:$Z$98,"H2",'Alle ruter'!$I$3:$I$98,$A61,'Alle ruter'!$AJ$3:$AJ$98,"&lt;="&amp;G$2)/2+SUMIFS('Alle ruter'!$AC$3:$AC$98,'Alle ruter'!$Z$3:$Z$98,"H2",'Alle ruter'!$J$3:$J$98,$A61,'Alle ruter'!$AJ$3:$AJ$98,"&lt;="&amp;G$2)/2</f>
        <v>0</v>
      </c>
      <c r="H61" s="3">
        <f>SUMIFS('Alle ruter'!$AC$3:$AC$98,'Alle ruter'!$Z$3:$Z$98,"H2",'Alle ruter'!$I$3:$I$98,$A61,'Alle ruter'!$AJ$3:$AJ$98,"&lt;="&amp;H$2)/2+SUMIFS('Alle ruter'!$AC$3:$AC$98,'Alle ruter'!$Z$3:$Z$98,"H2",'Alle ruter'!$J$3:$J$98,$A61,'Alle ruter'!$AJ$3:$AJ$98,"&lt;="&amp;H$2)/2</f>
        <v>0</v>
      </c>
      <c r="I61" s="3">
        <f>SUMIFS('Alle ruter'!$AC$3:$AC$98,'Alle ruter'!$Z$3:$Z$98,"H2",'Alle ruter'!$I$3:$I$98,$A61,'Alle ruter'!$AJ$3:$AJ$98,"&lt;="&amp;I$2)/2+SUMIFS('Alle ruter'!$AC$3:$AC$98,'Alle ruter'!$Z$3:$Z$98,"H2",'Alle ruter'!$J$3:$J$98,$A61,'Alle ruter'!$AJ$3:$AJ$98,"&lt;="&amp;I$2)/2</f>
        <v>0</v>
      </c>
      <c r="J61" s="3">
        <f>SUMIFS('Alle ruter'!$AC$3:$AC$98,'Alle ruter'!$Z$3:$Z$98,"H2",'Alle ruter'!$I$3:$I$98,$A61,'Alle ruter'!$AJ$3:$AJ$98,"&lt;="&amp;J$2)/2+SUMIFS('Alle ruter'!$AC$3:$AC$98,'Alle ruter'!$Z$3:$Z$98,"H2",'Alle ruter'!$J$3:$J$98,$A61,'Alle ruter'!$AJ$3:$AJ$98,"&lt;="&amp;J$2)/2</f>
        <v>0</v>
      </c>
      <c r="K61" s="3">
        <f>SUMIFS('Alle ruter'!$AC$3:$AC$98,'Alle ruter'!$Z$3:$Z$98,"H2",'Alle ruter'!$I$3:$I$98,$A61,'Alle ruter'!$AJ$3:$AJ$98,"&lt;="&amp;K$2)/2+SUMIFS('Alle ruter'!$AC$3:$AC$98,'Alle ruter'!$Z$3:$Z$98,"H2",'Alle ruter'!$J$3:$J$98,$A61,'Alle ruter'!$AJ$3:$AJ$98,"&lt;="&amp;K$2)/2</f>
        <v>0</v>
      </c>
      <c r="L61" s="3">
        <f>SUMIFS('Alle ruter'!$AC$3:$AC$98,'Alle ruter'!$Z$3:$Z$98,"H2",'Alle ruter'!$I$3:$I$98,$A61,'Alle ruter'!$AJ$3:$AJ$98,"&lt;="&amp;L$2)/2+SUMIFS('Alle ruter'!$AC$3:$AC$98,'Alle ruter'!$Z$3:$Z$98,"H2",'Alle ruter'!$J$3:$J$98,$A61,'Alle ruter'!$AJ$3:$AJ$98,"&lt;="&amp;L$2)/2</f>
        <v>0</v>
      </c>
      <c r="M61" s="3">
        <f>SUMIFS('Alle ruter'!$AC$3:$AC$98,'Alle ruter'!$Z$3:$Z$98,"H2",'Alle ruter'!$I$3:$I$98,$A61,'Alle ruter'!$AJ$3:$AJ$98,"&lt;="&amp;M$2)/2+SUMIFS('Alle ruter'!$AC$3:$AC$98,'Alle ruter'!$Z$3:$Z$98,"H2",'Alle ruter'!$J$3:$J$98,$A61,'Alle ruter'!$AJ$3:$AJ$98,"&lt;="&amp;M$2)/2</f>
        <v>0</v>
      </c>
      <c r="N61" s="3">
        <f>SUMIFS('Alle ruter'!$AC$3:$AC$98,'Alle ruter'!$Z$3:$Z$98,"H2",'Alle ruter'!$I$3:$I$98,$A61,'Alle ruter'!$AJ$3:$AJ$98,"&lt;="&amp;N$2)/2+SUMIFS('Alle ruter'!$AC$3:$AC$98,'Alle ruter'!$Z$3:$Z$98,"H2",'Alle ruter'!$J$3:$J$98,$A61,'Alle ruter'!$AJ$3:$AJ$98,"&lt;="&amp;N$2)/2</f>
        <v>0</v>
      </c>
      <c r="O61" s="3">
        <f>SUMIFS('Alle ruter'!$AC$3:$AC$98,'Alle ruter'!$Z$3:$Z$98,"H2",'Alle ruter'!$I$3:$I$98,$A61,'Alle ruter'!$AJ$3:$AJ$98,"&lt;="&amp;O$2)/2+SUMIFS('Alle ruter'!$AC$3:$AC$98,'Alle ruter'!$Z$3:$Z$98,"H2",'Alle ruter'!$J$3:$J$98,$A61,'Alle ruter'!$AJ$3:$AJ$98,"&lt;="&amp;O$2)/2</f>
        <v>0</v>
      </c>
      <c r="P61" s="3">
        <f>SUMIFS('Alle ruter'!$AC$3:$AC$98,'Alle ruter'!$Z$3:$Z$98,"H2",'Alle ruter'!$I$3:$I$98,$A61,'Alle ruter'!$AJ$3:$AJ$98,"&lt;="&amp;P$2)/2+SUMIFS('Alle ruter'!$AC$3:$AC$98,'Alle ruter'!$Z$3:$Z$98,"H2",'Alle ruter'!$J$3:$J$98,$A61,'Alle ruter'!$AJ$3:$AJ$98,"&lt;="&amp;P$2)/2</f>
        <v>0</v>
      </c>
      <c r="Q61" s="3">
        <f>SUMIFS('Alle ruter'!$AC$3:$AC$98,'Alle ruter'!$Z$3:$Z$98,"H2",'Alle ruter'!$I$3:$I$98,$A61,'Alle ruter'!$AJ$3:$AJ$98,"&lt;="&amp;Q$2)/2+SUMIFS('Alle ruter'!$AC$3:$AC$98,'Alle ruter'!$Z$3:$Z$98,"H2",'Alle ruter'!$J$3:$J$98,$A61,'Alle ruter'!$AJ$3:$AJ$98,"&lt;="&amp;Q$2)/2</f>
        <v>0</v>
      </c>
      <c r="R61" s="3">
        <f>SUMIFS('Alle ruter'!$AC$3:$AC$98,'Alle ruter'!$Z$3:$Z$98,"H2",'Alle ruter'!$I$3:$I$98,$A61,'Alle ruter'!$AJ$3:$AJ$98,"&lt;="&amp;R$2)/2+SUMIFS('Alle ruter'!$AC$3:$AC$98,'Alle ruter'!$Z$3:$Z$98,"H2",'Alle ruter'!$J$3:$J$98,$A61,'Alle ruter'!$AJ$3:$AJ$98,"&lt;="&amp;R$2)/2</f>
        <v>0</v>
      </c>
      <c r="S61" s="3">
        <f>SUMIFS('Alle ruter'!$AC$3:$AC$98,'Alle ruter'!$Z$3:$Z$98,"H2",'Alle ruter'!$I$3:$I$98,$A61,'Alle ruter'!$AJ$3:$AJ$98,"&lt;="&amp;S$2)/2+SUMIFS('Alle ruter'!$AC$3:$AC$98,'Alle ruter'!$Z$3:$Z$98,"H2",'Alle ruter'!$J$3:$J$98,$A61,'Alle ruter'!$AJ$3:$AJ$98,"&lt;="&amp;S$2)/2</f>
        <v>0</v>
      </c>
      <c r="T61" s="3"/>
    </row>
    <row r="62" spans="1:20" x14ac:dyDescent="0.3">
      <c r="A62" t="s">
        <v>160</v>
      </c>
      <c r="B62" s="5" t="s">
        <v>15</v>
      </c>
      <c r="C62" s="3">
        <f>COUNTIF('Alle ruter'!$I$3:$I$98,'H2 pr endeplass'!A62)+COUNTIFS('Alle ruter'!$J$3:$J$98,'H2 pr endeplass'!A62,'Alle ruter'!$K$3:$K$98,"Nei")</f>
        <v>1</v>
      </c>
      <c r="D62" s="3">
        <f>COUNTIFS('Alle ruter'!$I$3:$I$98,'H2 pr endeplass'!A62,'Alle ruter'!$Z$3:$Z$98,"H2")+COUNTIFS('Alle ruter'!$J$3:$J$98,'H2 pr endeplass'!A62,'Alle ruter'!$K$3:$K$98,"Nei",'Alle ruter'!$Z$3:$Z$98,"H2")</f>
        <v>0</v>
      </c>
      <c r="E62">
        <v>0</v>
      </c>
      <c r="F62" s="3">
        <f>SUMIFS('Alle ruter'!$AC$3:$AC$98,'Alle ruter'!$Z$3:$Z$98,"H2",'Alle ruter'!$I$3:$I$98,$A62,'Alle ruter'!$AJ$3:$AJ$98,"&lt;="&amp;F$2)/2+SUMIFS('Alle ruter'!$AC$3:$AC$98,'Alle ruter'!$Z$3:$Z$98,"H2",'Alle ruter'!$J$3:$J$98,$A62,'Alle ruter'!$AJ$3:$AJ$98,"&lt;="&amp;F$2)/2</f>
        <v>0</v>
      </c>
      <c r="G62" s="3">
        <f>SUMIFS('Alle ruter'!$AC$3:$AC$98,'Alle ruter'!$Z$3:$Z$98,"H2",'Alle ruter'!$I$3:$I$98,$A62,'Alle ruter'!$AJ$3:$AJ$98,"&lt;="&amp;G$2)/2+SUMIFS('Alle ruter'!$AC$3:$AC$98,'Alle ruter'!$Z$3:$Z$98,"H2",'Alle ruter'!$J$3:$J$98,$A62,'Alle ruter'!$AJ$3:$AJ$98,"&lt;="&amp;G$2)/2</f>
        <v>0</v>
      </c>
      <c r="H62" s="3">
        <f>SUMIFS('Alle ruter'!$AC$3:$AC$98,'Alle ruter'!$Z$3:$Z$98,"H2",'Alle ruter'!$I$3:$I$98,$A62,'Alle ruter'!$AJ$3:$AJ$98,"&lt;="&amp;H$2)/2+SUMIFS('Alle ruter'!$AC$3:$AC$98,'Alle ruter'!$Z$3:$Z$98,"H2",'Alle ruter'!$J$3:$J$98,$A62,'Alle ruter'!$AJ$3:$AJ$98,"&lt;="&amp;H$2)/2</f>
        <v>0</v>
      </c>
      <c r="I62" s="3">
        <f>SUMIFS('Alle ruter'!$AC$3:$AC$98,'Alle ruter'!$Z$3:$Z$98,"H2",'Alle ruter'!$I$3:$I$98,$A62,'Alle ruter'!$AJ$3:$AJ$98,"&lt;="&amp;I$2)/2+SUMIFS('Alle ruter'!$AC$3:$AC$98,'Alle ruter'!$Z$3:$Z$98,"H2",'Alle ruter'!$J$3:$J$98,$A62,'Alle ruter'!$AJ$3:$AJ$98,"&lt;="&amp;I$2)/2</f>
        <v>0</v>
      </c>
      <c r="J62" s="3">
        <f>SUMIFS('Alle ruter'!$AC$3:$AC$98,'Alle ruter'!$Z$3:$Z$98,"H2",'Alle ruter'!$I$3:$I$98,$A62,'Alle ruter'!$AJ$3:$AJ$98,"&lt;="&amp;J$2)/2+SUMIFS('Alle ruter'!$AC$3:$AC$98,'Alle ruter'!$Z$3:$Z$98,"H2",'Alle ruter'!$J$3:$J$98,$A62,'Alle ruter'!$AJ$3:$AJ$98,"&lt;="&amp;J$2)/2</f>
        <v>0</v>
      </c>
      <c r="K62" s="3">
        <f>SUMIFS('Alle ruter'!$AC$3:$AC$98,'Alle ruter'!$Z$3:$Z$98,"H2",'Alle ruter'!$I$3:$I$98,$A62,'Alle ruter'!$AJ$3:$AJ$98,"&lt;="&amp;K$2)/2+SUMIFS('Alle ruter'!$AC$3:$AC$98,'Alle ruter'!$Z$3:$Z$98,"H2",'Alle ruter'!$J$3:$J$98,$A62,'Alle ruter'!$AJ$3:$AJ$98,"&lt;="&amp;K$2)/2</f>
        <v>0</v>
      </c>
      <c r="L62" s="3">
        <f>SUMIFS('Alle ruter'!$AC$3:$AC$98,'Alle ruter'!$Z$3:$Z$98,"H2",'Alle ruter'!$I$3:$I$98,$A62,'Alle ruter'!$AJ$3:$AJ$98,"&lt;="&amp;L$2)/2+SUMIFS('Alle ruter'!$AC$3:$AC$98,'Alle ruter'!$Z$3:$Z$98,"H2",'Alle ruter'!$J$3:$J$98,$A62,'Alle ruter'!$AJ$3:$AJ$98,"&lt;="&amp;L$2)/2</f>
        <v>0</v>
      </c>
      <c r="M62" s="3">
        <f>SUMIFS('Alle ruter'!$AC$3:$AC$98,'Alle ruter'!$Z$3:$Z$98,"H2",'Alle ruter'!$I$3:$I$98,$A62,'Alle ruter'!$AJ$3:$AJ$98,"&lt;="&amp;M$2)/2+SUMIFS('Alle ruter'!$AC$3:$AC$98,'Alle ruter'!$Z$3:$Z$98,"H2",'Alle ruter'!$J$3:$J$98,$A62,'Alle ruter'!$AJ$3:$AJ$98,"&lt;="&amp;M$2)/2</f>
        <v>0</v>
      </c>
      <c r="N62" s="3">
        <f>SUMIFS('Alle ruter'!$AC$3:$AC$98,'Alle ruter'!$Z$3:$Z$98,"H2",'Alle ruter'!$I$3:$I$98,$A62,'Alle ruter'!$AJ$3:$AJ$98,"&lt;="&amp;N$2)/2+SUMIFS('Alle ruter'!$AC$3:$AC$98,'Alle ruter'!$Z$3:$Z$98,"H2",'Alle ruter'!$J$3:$J$98,$A62,'Alle ruter'!$AJ$3:$AJ$98,"&lt;="&amp;N$2)/2</f>
        <v>0</v>
      </c>
      <c r="O62" s="3">
        <f>SUMIFS('Alle ruter'!$AC$3:$AC$98,'Alle ruter'!$Z$3:$Z$98,"H2",'Alle ruter'!$I$3:$I$98,$A62,'Alle ruter'!$AJ$3:$AJ$98,"&lt;="&amp;O$2)/2+SUMIFS('Alle ruter'!$AC$3:$AC$98,'Alle ruter'!$Z$3:$Z$98,"H2",'Alle ruter'!$J$3:$J$98,$A62,'Alle ruter'!$AJ$3:$AJ$98,"&lt;="&amp;O$2)/2</f>
        <v>0</v>
      </c>
      <c r="P62" s="3">
        <f>SUMIFS('Alle ruter'!$AC$3:$AC$98,'Alle ruter'!$Z$3:$Z$98,"H2",'Alle ruter'!$I$3:$I$98,$A62,'Alle ruter'!$AJ$3:$AJ$98,"&lt;="&amp;P$2)/2+SUMIFS('Alle ruter'!$AC$3:$AC$98,'Alle ruter'!$Z$3:$Z$98,"H2",'Alle ruter'!$J$3:$J$98,$A62,'Alle ruter'!$AJ$3:$AJ$98,"&lt;="&amp;P$2)/2</f>
        <v>0</v>
      </c>
      <c r="Q62" s="3">
        <f>SUMIFS('Alle ruter'!$AC$3:$AC$98,'Alle ruter'!$Z$3:$Z$98,"H2",'Alle ruter'!$I$3:$I$98,$A62,'Alle ruter'!$AJ$3:$AJ$98,"&lt;="&amp;Q$2)/2+SUMIFS('Alle ruter'!$AC$3:$AC$98,'Alle ruter'!$Z$3:$Z$98,"H2",'Alle ruter'!$J$3:$J$98,$A62,'Alle ruter'!$AJ$3:$AJ$98,"&lt;="&amp;Q$2)/2</f>
        <v>0</v>
      </c>
      <c r="R62" s="3">
        <f>SUMIFS('Alle ruter'!$AC$3:$AC$98,'Alle ruter'!$Z$3:$Z$98,"H2",'Alle ruter'!$I$3:$I$98,$A62,'Alle ruter'!$AJ$3:$AJ$98,"&lt;="&amp;R$2)/2+SUMIFS('Alle ruter'!$AC$3:$AC$98,'Alle ruter'!$Z$3:$Z$98,"H2",'Alle ruter'!$J$3:$J$98,$A62,'Alle ruter'!$AJ$3:$AJ$98,"&lt;="&amp;R$2)/2</f>
        <v>0</v>
      </c>
      <c r="S62" s="3">
        <f>SUMIFS('Alle ruter'!$AC$3:$AC$98,'Alle ruter'!$Z$3:$Z$98,"H2",'Alle ruter'!$I$3:$I$98,$A62,'Alle ruter'!$AJ$3:$AJ$98,"&lt;="&amp;S$2)/2+SUMIFS('Alle ruter'!$AC$3:$AC$98,'Alle ruter'!$Z$3:$Z$98,"H2",'Alle ruter'!$J$3:$J$98,$A62,'Alle ruter'!$AJ$3:$AJ$98,"&lt;="&amp;S$2)/2</f>
        <v>0</v>
      </c>
      <c r="T62" s="3"/>
    </row>
    <row r="63" spans="1:20" x14ac:dyDescent="0.3">
      <c r="A63" t="s">
        <v>161</v>
      </c>
      <c r="B63" s="5" t="s">
        <v>15</v>
      </c>
      <c r="C63" s="3">
        <f>COUNTIF('Alle ruter'!$I$3:$I$98,'H2 pr endeplass'!A63)+COUNTIFS('Alle ruter'!$J$3:$J$98,'H2 pr endeplass'!A63,'Alle ruter'!$K$3:$K$98,"Nei")</f>
        <v>1</v>
      </c>
      <c r="D63" s="3">
        <f>COUNTIFS('Alle ruter'!$I$3:$I$98,'H2 pr endeplass'!A63,'Alle ruter'!$Z$3:$Z$98,"H2")+COUNTIFS('Alle ruter'!$J$3:$J$98,'H2 pr endeplass'!A63,'Alle ruter'!$K$3:$K$98,"Nei",'Alle ruter'!$Z$3:$Z$98,"H2")</f>
        <v>0</v>
      </c>
      <c r="E63">
        <v>0</v>
      </c>
      <c r="F63" s="3">
        <f>SUMIFS('Alle ruter'!$AC$3:$AC$98,'Alle ruter'!$Z$3:$Z$98,"H2",'Alle ruter'!$I$3:$I$98,$A63,'Alle ruter'!$AJ$3:$AJ$98,"&lt;="&amp;F$2)/2+SUMIFS('Alle ruter'!$AC$3:$AC$98,'Alle ruter'!$Z$3:$Z$98,"H2",'Alle ruter'!$J$3:$J$98,$A63,'Alle ruter'!$AJ$3:$AJ$98,"&lt;="&amp;F$2)/2</f>
        <v>0</v>
      </c>
      <c r="G63" s="3">
        <f>SUMIFS('Alle ruter'!$AC$3:$AC$98,'Alle ruter'!$Z$3:$Z$98,"H2",'Alle ruter'!$I$3:$I$98,$A63,'Alle ruter'!$AJ$3:$AJ$98,"&lt;="&amp;G$2)/2+SUMIFS('Alle ruter'!$AC$3:$AC$98,'Alle ruter'!$Z$3:$Z$98,"H2",'Alle ruter'!$J$3:$J$98,$A63,'Alle ruter'!$AJ$3:$AJ$98,"&lt;="&amp;G$2)/2</f>
        <v>0</v>
      </c>
      <c r="H63" s="3">
        <f>SUMIFS('Alle ruter'!$AC$3:$AC$98,'Alle ruter'!$Z$3:$Z$98,"H2",'Alle ruter'!$I$3:$I$98,$A63,'Alle ruter'!$AJ$3:$AJ$98,"&lt;="&amp;H$2)/2+SUMIFS('Alle ruter'!$AC$3:$AC$98,'Alle ruter'!$Z$3:$Z$98,"H2",'Alle ruter'!$J$3:$J$98,$A63,'Alle ruter'!$AJ$3:$AJ$98,"&lt;="&amp;H$2)/2</f>
        <v>0</v>
      </c>
      <c r="I63" s="3">
        <f>SUMIFS('Alle ruter'!$AC$3:$AC$98,'Alle ruter'!$Z$3:$Z$98,"H2",'Alle ruter'!$I$3:$I$98,$A63,'Alle ruter'!$AJ$3:$AJ$98,"&lt;="&amp;I$2)/2+SUMIFS('Alle ruter'!$AC$3:$AC$98,'Alle ruter'!$Z$3:$Z$98,"H2",'Alle ruter'!$J$3:$J$98,$A63,'Alle ruter'!$AJ$3:$AJ$98,"&lt;="&amp;I$2)/2</f>
        <v>0</v>
      </c>
      <c r="J63" s="3">
        <f>SUMIFS('Alle ruter'!$AC$3:$AC$98,'Alle ruter'!$Z$3:$Z$98,"H2",'Alle ruter'!$I$3:$I$98,$A63,'Alle ruter'!$AJ$3:$AJ$98,"&lt;="&amp;J$2)/2+SUMIFS('Alle ruter'!$AC$3:$AC$98,'Alle ruter'!$Z$3:$Z$98,"H2",'Alle ruter'!$J$3:$J$98,$A63,'Alle ruter'!$AJ$3:$AJ$98,"&lt;="&amp;J$2)/2</f>
        <v>0</v>
      </c>
      <c r="K63" s="3">
        <f>SUMIFS('Alle ruter'!$AC$3:$AC$98,'Alle ruter'!$Z$3:$Z$98,"H2",'Alle ruter'!$I$3:$I$98,$A63,'Alle ruter'!$AJ$3:$AJ$98,"&lt;="&amp;K$2)/2+SUMIFS('Alle ruter'!$AC$3:$AC$98,'Alle ruter'!$Z$3:$Z$98,"H2",'Alle ruter'!$J$3:$J$98,$A63,'Alle ruter'!$AJ$3:$AJ$98,"&lt;="&amp;K$2)/2</f>
        <v>0</v>
      </c>
      <c r="L63" s="3">
        <f>SUMIFS('Alle ruter'!$AC$3:$AC$98,'Alle ruter'!$Z$3:$Z$98,"H2",'Alle ruter'!$I$3:$I$98,$A63,'Alle ruter'!$AJ$3:$AJ$98,"&lt;="&amp;L$2)/2+SUMIFS('Alle ruter'!$AC$3:$AC$98,'Alle ruter'!$Z$3:$Z$98,"H2",'Alle ruter'!$J$3:$J$98,$A63,'Alle ruter'!$AJ$3:$AJ$98,"&lt;="&amp;L$2)/2</f>
        <v>0</v>
      </c>
      <c r="M63" s="3">
        <f>SUMIFS('Alle ruter'!$AC$3:$AC$98,'Alle ruter'!$Z$3:$Z$98,"H2",'Alle ruter'!$I$3:$I$98,$A63,'Alle ruter'!$AJ$3:$AJ$98,"&lt;="&amp;M$2)/2+SUMIFS('Alle ruter'!$AC$3:$AC$98,'Alle ruter'!$Z$3:$Z$98,"H2",'Alle ruter'!$J$3:$J$98,$A63,'Alle ruter'!$AJ$3:$AJ$98,"&lt;="&amp;M$2)/2</f>
        <v>0</v>
      </c>
      <c r="N63" s="3">
        <f>SUMIFS('Alle ruter'!$AC$3:$AC$98,'Alle ruter'!$Z$3:$Z$98,"H2",'Alle ruter'!$I$3:$I$98,$A63,'Alle ruter'!$AJ$3:$AJ$98,"&lt;="&amp;N$2)/2+SUMIFS('Alle ruter'!$AC$3:$AC$98,'Alle ruter'!$Z$3:$Z$98,"H2",'Alle ruter'!$J$3:$J$98,$A63,'Alle ruter'!$AJ$3:$AJ$98,"&lt;="&amp;N$2)/2</f>
        <v>0</v>
      </c>
      <c r="O63" s="3">
        <f>SUMIFS('Alle ruter'!$AC$3:$AC$98,'Alle ruter'!$Z$3:$Z$98,"H2",'Alle ruter'!$I$3:$I$98,$A63,'Alle ruter'!$AJ$3:$AJ$98,"&lt;="&amp;O$2)/2+SUMIFS('Alle ruter'!$AC$3:$AC$98,'Alle ruter'!$Z$3:$Z$98,"H2",'Alle ruter'!$J$3:$J$98,$A63,'Alle ruter'!$AJ$3:$AJ$98,"&lt;="&amp;O$2)/2</f>
        <v>0</v>
      </c>
      <c r="P63" s="3">
        <f>SUMIFS('Alle ruter'!$AC$3:$AC$98,'Alle ruter'!$Z$3:$Z$98,"H2",'Alle ruter'!$I$3:$I$98,$A63,'Alle ruter'!$AJ$3:$AJ$98,"&lt;="&amp;P$2)/2+SUMIFS('Alle ruter'!$AC$3:$AC$98,'Alle ruter'!$Z$3:$Z$98,"H2",'Alle ruter'!$J$3:$J$98,$A63,'Alle ruter'!$AJ$3:$AJ$98,"&lt;="&amp;P$2)/2</f>
        <v>0</v>
      </c>
      <c r="Q63" s="3">
        <f>SUMIFS('Alle ruter'!$AC$3:$AC$98,'Alle ruter'!$Z$3:$Z$98,"H2",'Alle ruter'!$I$3:$I$98,$A63,'Alle ruter'!$AJ$3:$AJ$98,"&lt;="&amp;Q$2)/2+SUMIFS('Alle ruter'!$AC$3:$AC$98,'Alle ruter'!$Z$3:$Z$98,"H2",'Alle ruter'!$J$3:$J$98,$A63,'Alle ruter'!$AJ$3:$AJ$98,"&lt;="&amp;Q$2)/2</f>
        <v>0</v>
      </c>
      <c r="R63" s="3">
        <f>SUMIFS('Alle ruter'!$AC$3:$AC$98,'Alle ruter'!$Z$3:$Z$98,"H2",'Alle ruter'!$I$3:$I$98,$A63,'Alle ruter'!$AJ$3:$AJ$98,"&lt;="&amp;R$2)/2+SUMIFS('Alle ruter'!$AC$3:$AC$98,'Alle ruter'!$Z$3:$Z$98,"H2",'Alle ruter'!$J$3:$J$98,$A63,'Alle ruter'!$AJ$3:$AJ$98,"&lt;="&amp;R$2)/2</f>
        <v>0</v>
      </c>
      <c r="S63" s="3">
        <f>SUMIFS('Alle ruter'!$AC$3:$AC$98,'Alle ruter'!$Z$3:$Z$98,"H2",'Alle ruter'!$I$3:$I$98,$A63,'Alle ruter'!$AJ$3:$AJ$98,"&lt;="&amp;S$2)/2+SUMIFS('Alle ruter'!$AC$3:$AC$98,'Alle ruter'!$Z$3:$Z$98,"H2",'Alle ruter'!$J$3:$J$98,$A63,'Alle ruter'!$AJ$3:$AJ$98,"&lt;="&amp;S$2)/2</f>
        <v>0</v>
      </c>
      <c r="T63" s="3"/>
    </row>
    <row r="64" spans="1:20" x14ac:dyDescent="0.3">
      <c r="A64" t="s">
        <v>159</v>
      </c>
      <c r="B64" s="5" t="s">
        <v>388</v>
      </c>
      <c r="C64" s="3">
        <f>COUNTIF('Alle ruter'!$I$3:$I$98,'H2 pr endeplass'!A64)+COUNTIFS('Alle ruter'!$J$3:$J$98,'H2 pr endeplass'!A64,'Alle ruter'!$K$3:$K$98,"Nei")</f>
        <v>1</v>
      </c>
      <c r="D64" s="3">
        <f>COUNTIFS('Alle ruter'!$I$3:$I$98,'H2 pr endeplass'!A64,'Alle ruter'!$Z$3:$Z$98,"H2")+COUNTIFS('Alle ruter'!$J$3:$J$98,'H2 pr endeplass'!A64,'Alle ruter'!$K$3:$K$98,"Nei",'Alle ruter'!$Z$3:$Z$98,"H2")</f>
        <v>0</v>
      </c>
      <c r="E64">
        <v>0</v>
      </c>
      <c r="F64" s="3">
        <f>SUMIFS('Alle ruter'!$AC$3:$AC$98,'Alle ruter'!$Z$3:$Z$98,"H2",'Alle ruter'!$I$3:$I$98,$A64,'Alle ruter'!$AJ$3:$AJ$98,"&lt;="&amp;F$2)/2+SUMIFS('Alle ruter'!$AC$3:$AC$98,'Alle ruter'!$Z$3:$Z$98,"H2",'Alle ruter'!$J$3:$J$98,$A64,'Alle ruter'!$AJ$3:$AJ$98,"&lt;="&amp;F$2)/2</f>
        <v>0</v>
      </c>
      <c r="G64" s="3">
        <f>SUMIFS('Alle ruter'!$AC$3:$AC$98,'Alle ruter'!$Z$3:$Z$98,"H2",'Alle ruter'!$I$3:$I$98,$A64,'Alle ruter'!$AJ$3:$AJ$98,"&lt;="&amp;G$2)/2+SUMIFS('Alle ruter'!$AC$3:$AC$98,'Alle ruter'!$Z$3:$Z$98,"H2",'Alle ruter'!$J$3:$J$98,$A64,'Alle ruter'!$AJ$3:$AJ$98,"&lt;="&amp;G$2)/2</f>
        <v>0</v>
      </c>
      <c r="H64" s="3">
        <f>SUMIFS('Alle ruter'!$AC$3:$AC$98,'Alle ruter'!$Z$3:$Z$98,"H2",'Alle ruter'!$I$3:$I$98,$A64,'Alle ruter'!$AJ$3:$AJ$98,"&lt;="&amp;H$2)/2+SUMIFS('Alle ruter'!$AC$3:$AC$98,'Alle ruter'!$Z$3:$Z$98,"H2",'Alle ruter'!$J$3:$J$98,$A64,'Alle ruter'!$AJ$3:$AJ$98,"&lt;="&amp;H$2)/2</f>
        <v>0</v>
      </c>
      <c r="I64" s="3">
        <f>SUMIFS('Alle ruter'!$AC$3:$AC$98,'Alle ruter'!$Z$3:$Z$98,"H2",'Alle ruter'!$I$3:$I$98,$A64,'Alle ruter'!$AJ$3:$AJ$98,"&lt;="&amp;I$2)/2+SUMIFS('Alle ruter'!$AC$3:$AC$98,'Alle ruter'!$Z$3:$Z$98,"H2",'Alle ruter'!$J$3:$J$98,$A64,'Alle ruter'!$AJ$3:$AJ$98,"&lt;="&amp;I$2)/2</f>
        <v>0</v>
      </c>
      <c r="J64" s="3">
        <f>SUMIFS('Alle ruter'!$AC$3:$AC$98,'Alle ruter'!$Z$3:$Z$98,"H2",'Alle ruter'!$I$3:$I$98,$A64,'Alle ruter'!$AJ$3:$AJ$98,"&lt;="&amp;J$2)/2+SUMIFS('Alle ruter'!$AC$3:$AC$98,'Alle ruter'!$Z$3:$Z$98,"H2",'Alle ruter'!$J$3:$J$98,$A64,'Alle ruter'!$AJ$3:$AJ$98,"&lt;="&amp;J$2)/2</f>
        <v>0</v>
      </c>
      <c r="K64" s="3">
        <f>SUMIFS('Alle ruter'!$AC$3:$AC$98,'Alle ruter'!$Z$3:$Z$98,"H2",'Alle ruter'!$I$3:$I$98,$A64,'Alle ruter'!$AJ$3:$AJ$98,"&lt;="&amp;K$2)/2+SUMIFS('Alle ruter'!$AC$3:$AC$98,'Alle ruter'!$Z$3:$Z$98,"H2",'Alle ruter'!$J$3:$J$98,$A64,'Alle ruter'!$AJ$3:$AJ$98,"&lt;="&amp;K$2)/2</f>
        <v>0</v>
      </c>
      <c r="L64" s="3">
        <f>SUMIFS('Alle ruter'!$AC$3:$AC$98,'Alle ruter'!$Z$3:$Z$98,"H2",'Alle ruter'!$I$3:$I$98,$A64,'Alle ruter'!$AJ$3:$AJ$98,"&lt;="&amp;L$2)/2+SUMIFS('Alle ruter'!$AC$3:$AC$98,'Alle ruter'!$Z$3:$Z$98,"H2",'Alle ruter'!$J$3:$J$98,$A64,'Alle ruter'!$AJ$3:$AJ$98,"&lt;="&amp;L$2)/2</f>
        <v>0</v>
      </c>
      <c r="M64" s="3">
        <f>SUMIFS('Alle ruter'!$AC$3:$AC$98,'Alle ruter'!$Z$3:$Z$98,"H2",'Alle ruter'!$I$3:$I$98,$A64,'Alle ruter'!$AJ$3:$AJ$98,"&lt;="&amp;M$2)/2+SUMIFS('Alle ruter'!$AC$3:$AC$98,'Alle ruter'!$Z$3:$Z$98,"H2",'Alle ruter'!$J$3:$J$98,$A64,'Alle ruter'!$AJ$3:$AJ$98,"&lt;="&amp;M$2)/2</f>
        <v>0</v>
      </c>
      <c r="N64" s="3">
        <f>SUMIFS('Alle ruter'!$AC$3:$AC$98,'Alle ruter'!$Z$3:$Z$98,"H2",'Alle ruter'!$I$3:$I$98,$A64,'Alle ruter'!$AJ$3:$AJ$98,"&lt;="&amp;N$2)/2+SUMIFS('Alle ruter'!$AC$3:$AC$98,'Alle ruter'!$Z$3:$Z$98,"H2",'Alle ruter'!$J$3:$J$98,$A64,'Alle ruter'!$AJ$3:$AJ$98,"&lt;="&amp;N$2)/2</f>
        <v>0</v>
      </c>
      <c r="O64" s="3">
        <f>SUMIFS('Alle ruter'!$AC$3:$AC$98,'Alle ruter'!$Z$3:$Z$98,"H2",'Alle ruter'!$I$3:$I$98,$A64,'Alle ruter'!$AJ$3:$AJ$98,"&lt;="&amp;O$2)/2+SUMIFS('Alle ruter'!$AC$3:$AC$98,'Alle ruter'!$Z$3:$Z$98,"H2",'Alle ruter'!$J$3:$J$98,$A64,'Alle ruter'!$AJ$3:$AJ$98,"&lt;="&amp;O$2)/2</f>
        <v>0</v>
      </c>
      <c r="P64" s="3">
        <f>SUMIFS('Alle ruter'!$AC$3:$AC$98,'Alle ruter'!$Z$3:$Z$98,"H2",'Alle ruter'!$I$3:$I$98,$A64,'Alle ruter'!$AJ$3:$AJ$98,"&lt;="&amp;P$2)/2+SUMIFS('Alle ruter'!$AC$3:$AC$98,'Alle ruter'!$Z$3:$Z$98,"H2",'Alle ruter'!$J$3:$J$98,$A64,'Alle ruter'!$AJ$3:$AJ$98,"&lt;="&amp;P$2)/2</f>
        <v>0</v>
      </c>
      <c r="Q64" s="3">
        <f>SUMIFS('Alle ruter'!$AC$3:$AC$98,'Alle ruter'!$Z$3:$Z$98,"H2",'Alle ruter'!$I$3:$I$98,$A64,'Alle ruter'!$AJ$3:$AJ$98,"&lt;="&amp;Q$2)/2+SUMIFS('Alle ruter'!$AC$3:$AC$98,'Alle ruter'!$Z$3:$Z$98,"H2",'Alle ruter'!$J$3:$J$98,$A64,'Alle ruter'!$AJ$3:$AJ$98,"&lt;="&amp;Q$2)/2</f>
        <v>0</v>
      </c>
      <c r="R64" s="3">
        <f>SUMIFS('Alle ruter'!$AC$3:$AC$98,'Alle ruter'!$Z$3:$Z$98,"H2",'Alle ruter'!$I$3:$I$98,$A64,'Alle ruter'!$AJ$3:$AJ$98,"&lt;="&amp;R$2)/2+SUMIFS('Alle ruter'!$AC$3:$AC$98,'Alle ruter'!$Z$3:$Z$98,"H2",'Alle ruter'!$J$3:$J$98,$A64,'Alle ruter'!$AJ$3:$AJ$98,"&lt;="&amp;R$2)/2</f>
        <v>0</v>
      </c>
      <c r="S64" s="3">
        <f>SUMIFS('Alle ruter'!$AC$3:$AC$98,'Alle ruter'!$Z$3:$Z$98,"H2",'Alle ruter'!$I$3:$I$98,$A64,'Alle ruter'!$AJ$3:$AJ$98,"&lt;="&amp;S$2)/2+SUMIFS('Alle ruter'!$AC$3:$AC$98,'Alle ruter'!$Z$3:$Z$98,"H2",'Alle ruter'!$J$3:$J$98,$A64,'Alle ruter'!$AJ$3:$AJ$98,"&lt;="&amp;S$2)/2</f>
        <v>0</v>
      </c>
      <c r="T64" s="3"/>
    </row>
    <row r="65" spans="1:20" x14ac:dyDescent="0.3">
      <c r="A65" t="s">
        <v>163</v>
      </c>
      <c r="B65" t="s">
        <v>390</v>
      </c>
      <c r="C65" s="3">
        <f>COUNTIF('Alle ruter'!$I$3:$I$98,'H2 pr endeplass'!A65)+COUNTIFS('Alle ruter'!$J$3:$J$98,'H2 pr endeplass'!A65,'Alle ruter'!$K$3:$K$98,"Nei")</f>
        <v>1</v>
      </c>
      <c r="D65" s="3">
        <f>COUNTIFS('Alle ruter'!$I$3:$I$98,'H2 pr endeplass'!A65,'Alle ruter'!$Z$3:$Z$98,"H2")+COUNTIFS('Alle ruter'!$J$3:$J$98,'H2 pr endeplass'!A65,'Alle ruter'!$K$3:$K$98,"Nei",'Alle ruter'!$Z$3:$Z$98,"H2")</f>
        <v>0</v>
      </c>
      <c r="E65">
        <v>0</v>
      </c>
      <c r="F65" s="3">
        <f>SUMIFS('Alle ruter'!$AC$3:$AC$98,'Alle ruter'!$Z$3:$Z$98,"H2",'Alle ruter'!$I$3:$I$98,$A65,'Alle ruter'!$AJ$3:$AJ$98,"&lt;="&amp;F$2)/2+SUMIFS('Alle ruter'!$AC$3:$AC$98,'Alle ruter'!$Z$3:$Z$98,"H2",'Alle ruter'!$J$3:$J$98,$A65,'Alle ruter'!$AJ$3:$AJ$98,"&lt;="&amp;F$2)/2</f>
        <v>0</v>
      </c>
      <c r="G65" s="3">
        <f>SUMIFS('Alle ruter'!$AC$3:$AC$98,'Alle ruter'!$Z$3:$Z$98,"H2",'Alle ruter'!$I$3:$I$98,$A65,'Alle ruter'!$AJ$3:$AJ$98,"&lt;="&amp;G$2)/2+SUMIFS('Alle ruter'!$AC$3:$AC$98,'Alle ruter'!$Z$3:$Z$98,"H2",'Alle ruter'!$J$3:$J$98,$A65,'Alle ruter'!$AJ$3:$AJ$98,"&lt;="&amp;G$2)/2</f>
        <v>0</v>
      </c>
      <c r="H65" s="3">
        <f>SUMIFS('Alle ruter'!$AC$3:$AC$98,'Alle ruter'!$Z$3:$Z$98,"H2",'Alle ruter'!$I$3:$I$98,$A65,'Alle ruter'!$AJ$3:$AJ$98,"&lt;="&amp;H$2)/2+SUMIFS('Alle ruter'!$AC$3:$AC$98,'Alle ruter'!$Z$3:$Z$98,"H2",'Alle ruter'!$J$3:$J$98,$A65,'Alle ruter'!$AJ$3:$AJ$98,"&lt;="&amp;H$2)/2</f>
        <v>0</v>
      </c>
      <c r="I65" s="3">
        <f>SUMIFS('Alle ruter'!$AC$3:$AC$98,'Alle ruter'!$Z$3:$Z$98,"H2",'Alle ruter'!$I$3:$I$98,$A65,'Alle ruter'!$AJ$3:$AJ$98,"&lt;="&amp;I$2)/2+SUMIFS('Alle ruter'!$AC$3:$AC$98,'Alle ruter'!$Z$3:$Z$98,"H2",'Alle ruter'!$J$3:$J$98,$A65,'Alle ruter'!$AJ$3:$AJ$98,"&lt;="&amp;I$2)/2</f>
        <v>0</v>
      </c>
      <c r="J65" s="3">
        <f>SUMIFS('Alle ruter'!$AC$3:$AC$98,'Alle ruter'!$Z$3:$Z$98,"H2",'Alle ruter'!$I$3:$I$98,$A65,'Alle ruter'!$AJ$3:$AJ$98,"&lt;="&amp;J$2)/2+SUMIFS('Alle ruter'!$AC$3:$AC$98,'Alle ruter'!$Z$3:$Z$98,"H2",'Alle ruter'!$J$3:$J$98,$A65,'Alle ruter'!$AJ$3:$AJ$98,"&lt;="&amp;J$2)/2</f>
        <v>0</v>
      </c>
      <c r="K65" s="3">
        <f>SUMIFS('Alle ruter'!$AC$3:$AC$98,'Alle ruter'!$Z$3:$Z$98,"H2",'Alle ruter'!$I$3:$I$98,$A65,'Alle ruter'!$AJ$3:$AJ$98,"&lt;="&amp;K$2)/2+SUMIFS('Alle ruter'!$AC$3:$AC$98,'Alle ruter'!$Z$3:$Z$98,"H2",'Alle ruter'!$J$3:$J$98,$A65,'Alle ruter'!$AJ$3:$AJ$98,"&lt;="&amp;K$2)/2</f>
        <v>0</v>
      </c>
      <c r="L65" s="3">
        <f>SUMIFS('Alle ruter'!$AC$3:$AC$98,'Alle ruter'!$Z$3:$Z$98,"H2",'Alle ruter'!$I$3:$I$98,$A65,'Alle ruter'!$AJ$3:$AJ$98,"&lt;="&amp;L$2)/2+SUMIFS('Alle ruter'!$AC$3:$AC$98,'Alle ruter'!$Z$3:$Z$98,"H2",'Alle ruter'!$J$3:$J$98,$A65,'Alle ruter'!$AJ$3:$AJ$98,"&lt;="&amp;L$2)/2</f>
        <v>0</v>
      </c>
      <c r="M65" s="3">
        <f>SUMIFS('Alle ruter'!$AC$3:$AC$98,'Alle ruter'!$Z$3:$Z$98,"H2",'Alle ruter'!$I$3:$I$98,$A65,'Alle ruter'!$AJ$3:$AJ$98,"&lt;="&amp;M$2)/2+SUMIFS('Alle ruter'!$AC$3:$AC$98,'Alle ruter'!$Z$3:$Z$98,"H2",'Alle ruter'!$J$3:$J$98,$A65,'Alle ruter'!$AJ$3:$AJ$98,"&lt;="&amp;M$2)/2</f>
        <v>0</v>
      </c>
      <c r="N65" s="3">
        <f>SUMIFS('Alle ruter'!$AC$3:$AC$98,'Alle ruter'!$Z$3:$Z$98,"H2",'Alle ruter'!$I$3:$I$98,$A65,'Alle ruter'!$AJ$3:$AJ$98,"&lt;="&amp;N$2)/2+SUMIFS('Alle ruter'!$AC$3:$AC$98,'Alle ruter'!$Z$3:$Z$98,"H2",'Alle ruter'!$J$3:$J$98,$A65,'Alle ruter'!$AJ$3:$AJ$98,"&lt;="&amp;N$2)/2</f>
        <v>0</v>
      </c>
      <c r="O65" s="3">
        <f>SUMIFS('Alle ruter'!$AC$3:$AC$98,'Alle ruter'!$Z$3:$Z$98,"H2",'Alle ruter'!$I$3:$I$98,$A65,'Alle ruter'!$AJ$3:$AJ$98,"&lt;="&amp;O$2)/2+SUMIFS('Alle ruter'!$AC$3:$AC$98,'Alle ruter'!$Z$3:$Z$98,"H2",'Alle ruter'!$J$3:$J$98,$A65,'Alle ruter'!$AJ$3:$AJ$98,"&lt;="&amp;O$2)/2</f>
        <v>0</v>
      </c>
      <c r="P65" s="3">
        <f>SUMIFS('Alle ruter'!$AC$3:$AC$98,'Alle ruter'!$Z$3:$Z$98,"H2",'Alle ruter'!$I$3:$I$98,$A65,'Alle ruter'!$AJ$3:$AJ$98,"&lt;="&amp;P$2)/2+SUMIFS('Alle ruter'!$AC$3:$AC$98,'Alle ruter'!$Z$3:$Z$98,"H2",'Alle ruter'!$J$3:$J$98,$A65,'Alle ruter'!$AJ$3:$AJ$98,"&lt;="&amp;P$2)/2</f>
        <v>0</v>
      </c>
      <c r="Q65" s="3">
        <f>SUMIFS('Alle ruter'!$AC$3:$AC$98,'Alle ruter'!$Z$3:$Z$98,"H2",'Alle ruter'!$I$3:$I$98,$A65,'Alle ruter'!$AJ$3:$AJ$98,"&lt;="&amp;Q$2)/2+SUMIFS('Alle ruter'!$AC$3:$AC$98,'Alle ruter'!$Z$3:$Z$98,"H2",'Alle ruter'!$J$3:$J$98,$A65,'Alle ruter'!$AJ$3:$AJ$98,"&lt;="&amp;Q$2)/2</f>
        <v>0</v>
      </c>
      <c r="R65" s="3">
        <f>SUMIFS('Alle ruter'!$AC$3:$AC$98,'Alle ruter'!$Z$3:$Z$98,"H2",'Alle ruter'!$I$3:$I$98,$A65,'Alle ruter'!$AJ$3:$AJ$98,"&lt;="&amp;R$2)/2+SUMIFS('Alle ruter'!$AC$3:$AC$98,'Alle ruter'!$Z$3:$Z$98,"H2",'Alle ruter'!$J$3:$J$98,$A65,'Alle ruter'!$AJ$3:$AJ$98,"&lt;="&amp;R$2)/2</f>
        <v>0</v>
      </c>
      <c r="S65" s="3">
        <f>SUMIFS('Alle ruter'!$AC$3:$AC$98,'Alle ruter'!$Z$3:$Z$98,"H2",'Alle ruter'!$I$3:$I$98,$A65,'Alle ruter'!$AJ$3:$AJ$98,"&lt;="&amp;S$2)/2+SUMIFS('Alle ruter'!$AC$3:$AC$98,'Alle ruter'!$Z$3:$Z$98,"H2",'Alle ruter'!$J$3:$J$98,$A65,'Alle ruter'!$AJ$3:$AJ$98,"&lt;="&amp;S$2)/2</f>
        <v>0</v>
      </c>
      <c r="T65" s="3"/>
    </row>
    <row r="66" spans="1:20" x14ac:dyDescent="0.3">
      <c r="A66" t="s">
        <v>164</v>
      </c>
      <c r="B66" t="s">
        <v>390</v>
      </c>
      <c r="C66" s="3">
        <f>COUNTIF('Alle ruter'!$I$3:$I$98,'H2 pr endeplass'!A66)+COUNTIFS('Alle ruter'!$J$3:$J$98,'H2 pr endeplass'!A66,'Alle ruter'!$K$3:$K$98,"Nei")</f>
        <v>1</v>
      </c>
      <c r="D66" s="3">
        <f>COUNTIFS('Alle ruter'!$I$3:$I$98,'H2 pr endeplass'!A66,'Alle ruter'!$Z$3:$Z$98,"H2")+COUNTIFS('Alle ruter'!$J$3:$J$98,'H2 pr endeplass'!A66,'Alle ruter'!$K$3:$K$98,"Nei",'Alle ruter'!$Z$3:$Z$98,"H2")</f>
        <v>0</v>
      </c>
      <c r="E66">
        <v>0</v>
      </c>
      <c r="F66" s="3">
        <f>SUMIFS('Alle ruter'!$AC$3:$AC$98,'Alle ruter'!$Z$3:$Z$98,"H2",'Alle ruter'!$I$3:$I$98,$A66,'Alle ruter'!$AJ$3:$AJ$98,"&lt;="&amp;F$2)/2+SUMIFS('Alle ruter'!$AC$3:$AC$98,'Alle ruter'!$Z$3:$Z$98,"H2",'Alle ruter'!$J$3:$J$98,$A66,'Alle ruter'!$AJ$3:$AJ$98,"&lt;="&amp;F$2)/2</f>
        <v>0</v>
      </c>
      <c r="G66" s="3">
        <f>SUMIFS('Alle ruter'!$AC$3:$AC$98,'Alle ruter'!$Z$3:$Z$98,"H2",'Alle ruter'!$I$3:$I$98,$A66,'Alle ruter'!$AJ$3:$AJ$98,"&lt;="&amp;G$2)/2+SUMIFS('Alle ruter'!$AC$3:$AC$98,'Alle ruter'!$Z$3:$Z$98,"H2",'Alle ruter'!$J$3:$J$98,$A66,'Alle ruter'!$AJ$3:$AJ$98,"&lt;="&amp;G$2)/2</f>
        <v>0</v>
      </c>
      <c r="H66" s="3">
        <f>SUMIFS('Alle ruter'!$AC$3:$AC$98,'Alle ruter'!$Z$3:$Z$98,"H2",'Alle ruter'!$I$3:$I$98,$A66,'Alle ruter'!$AJ$3:$AJ$98,"&lt;="&amp;H$2)/2+SUMIFS('Alle ruter'!$AC$3:$AC$98,'Alle ruter'!$Z$3:$Z$98,"H2",'Alle ruter'!$J$3:$J$98,$A66,'Alle ruter'!$AJ$3:$AJ$98,"&lt;="&amp;H$2)/2</f>
        <v>0</v>
      </c>
      <c r="I66" s="3">
        <f>SUMIFS('Alle ruter'!$AC$3:$AC$98,'Alle ruter'!$Z$3:$Z$98,"H2",'Alle ruter'!$I$3:$I$98,$A66,'Alle ruter'!$AJ$3:$AJ$98,"&lt;="&amp;I$2)/2+SUMIFS('Alle ruter'!$AC$3:$AC$98,'Alle ruter'!$Z$3:$Z$98,"H2",'Alle ruter'!$J$3:$J$98,$A66,'Alle ruter'!$AJ$3:$AJ$98,"&lt;="&amp;I$2)/2</f>
        <v>0</v>
      </c>
      <c r="J66" s="3">
        <f>SUMIFS('Alle ruter'!$AC$3:$AC$98,'Alle ruter'!$Z$3:$Z$98,"H2",'Alle ruter'!$I$3:$I$98,$A66,'Alle ruter'!$AJ$3:$AJ$98,"&lt;="&amp;J$2)/2+SUMIFS('Alle ruter'!$AC$3:$AC$98,'Alle ruter'!$Z$3:$Z$98,"H2",'Alle ruter'!$J$3:$J$98,$A66,'Alle ruter'!$AJ$3:$AJ$98,"&lt;="&amp;J$2)/2</f>
        <v>0</v>
      </c>
      <c r="K66" s="3">
        <f>SUMIFS('Alle ruter'!$AC$3:$AC$98,'Alle ruter'!$Z$3:$Z$98,"H2",'Alle ruter'!$I$3:$I$98,$A66,'Alle ruter'!$AJ$3:$AJ$98,"&lt;="&amp;K$2)/2+SUMIFS('Alle ruter'!$AC$3:$AC$98,'Alle ruter'!$Z$3:$Z$98,"H2",'Alle ruter'!$J$3:$J$98,$A66,'Alle ruter'!$AJ$3:$AJ$98,"&lt;="&amp;K$2)/2</f>
        <v>0</v>
      </c>
      <c r="L66" s="3">
        <f>SUMIFS('Alle ruter'!$AC$3:$AC$98,'Alle ruter'!$Z$3:$Z$98,"H2",'Alle ruter'!$I$3:$I$98,$A66,'Alle ruter'!$AJ$3:$AJ$98,"&lt;="&amp;L$2)/2+SUMIFS('Alle ruter'!$AC$3:$AC$98,'Alle ruter'!$Z$3:$Z$98,"H2",'Alle ruter'!$J$3:$J$98,$A66,'Alle ruter'!$AJ$3:$AJ$98,"&lt;="&amp;L$2)/2</f>
        <v>0</v>
      </c>
      <c r="M66" s="3">
        <f>SUMIFS('Alle ruter'!$AC$3:$AC$98,'Alle ruter'!$Z$3:$Z$98,"H2",'Alle ruter'!$I$3:$I$98,$A66,'Alle ruter'!$AJ$3:$AJ$98,"&lt;="&amp;M$2)/2+SUMIFS('Alle ruter'!$AC$3:$AC$98,'Alle ruter'!$Z$3:$Z$98,"H2",'Alle ruter'!$J$3:$J$98,$A66,'Alle ruter'!$AJ$3:$AJ$98,"&lt;="&amp;M$2)/2</f>
        <v>0</v>
      </c>
      <c r="N66" s="3">
        <f>SUMIFS('Alle ruter'!$AC$3:$AC$98,'Alle ruter'!$Z$3:$Z$98,"H2",'Alle ruter'!$I$3:$I$98,$A66,'Alle ruter'!$AJ$3:$AJ$98,"&lt;="&amp;N$2)/2+SUMIFS('Alle ruter'!$AC$3:$AC$98,'Alle ruter'!$Z$3:$Z$98,"H2",'Alle ruter'!$J$3:$J$98,$A66,'Alle ruter'!$AJ$3:$AJ$98,"&lt;="&amp;N$2)/2</f>
        <v>0</v>
      </c>
      <c r="O66" s="3">
        <f>SUMIFS('Alle ruter'!$AC$3:$AC$98,'Alle ruter'!$Z$3:$Z$98,"H2",'Alle ruter'!$I$3:$I$98,$A66,'Alle ruter'!$AJ$3:$AJ$98,"&lt;="&amp;O$2)/2+SUMIFS('Alle ruter'!$AC$3:$AC$98,'Alle ruter'!$Z$3:$Z$98,"H2",'Alle ruter'!$J$3:$J$98,$A66,'Alle ruter'!$AJ$3:$AJ$98,"&lt;="&amp;O$2)/2</f>
        <v>0</v>
      </c>
      <c r="P66" s="3">
        <f>SUMIFS('Alle ruter'!$AC$3:$AC$98,'Alle ruter'!$Z$3:$Z$98,"H2",'Alle ruter'!$I$3:$I$98,$A66,'Alle ruter'!$AJ$3:$AJ$98,"&lt;="&amp;P$2)/2+SUMIFS('Alle ruter'!$AC$3:$AC$98,'Alle ruter'!$Z$3:$Z$98,"H2",'Alle ruter'!$J$3:$J$98,$A66,'Alle ruter'!$AJ$3:$AJ$98,"&lt;="&amp;P$2)/2</f>
        <v>0</v>
      </c>
      <c r="Q66" s="3">
        <f>SUMIFS('Alle ruter'!$AC$3:$AC$98,'Alle ruter'!$Z$3:$Z$98,"H2",'Alle ruter'!$I$3:$I$98,$A66,'Alle ruter'!$AJ$3:$AJ$98,"&lt;="&amp;Q$2)/2+SUMIFS('Alle ruter'!$AC$3:$AC$98,'Alle ruter'!$Z$3:$Z$98,"H2",'Alle ruter'!$J$3:$J$98,$A66,'Alle ruter'!$AJ$3:$AJ$98,"&lt;="&amp;Q$2)/2</f>
        <v>0</v>
      </c>
      <c r="R66" s="3">
        <f>SUMIFS('Alle ruter'!$AC$3:$AC$98,'Alle ruter'!$Z$3:$Z$98,"H2",'Alle ruter'!$I$3:$I$98,$A66,'Alle ruter'!$AJ$3:$AJ$98,"&lt;="&amp;R$2)/2+SUMIFS('Alle ruter'!$AC$3:$AC$98,'Alle ruter'!$Z$3:$Z$98,"H2",'Alle ruter'!$J$3:$J$98,$A66,'Alle ruter'!$AJ$3:$AJ$98,"&lt;="&amp;R$2)/2</f>
        <v>0</v>
      </c>
      <c r="S66" s="3">
        <f>SUMIFS('Alle ruter'!$AC$3:$AC$98,'Alle ruter'!$Z$3:$Z$98,"H2",'Alle ruter'!$I$3:$I$98,$A66,'Alle ruter'!$AJ$3:$AJ$98,"&lt;="&amp;S$2)/2+SUMIFS('Alle ruter'!$AC$3:$AC$98,'Alle ruter'!$Z$3:$Z$98,"H2",'Alle ruter'!$J$3:$J$98,$A66,'Alle ruter'!$AJ$3:$AJ$98,"&lt;="&amp;S$2)/2</f>
        <v>0</v>
      </c>
      <c r="T66" s="3"/>
    </row>
    <row r="67" spans="1:20" x14ac:dyDescent="0.3">
      <c r="A67" t="s">
        <v>192</v>
      </c>
      <c r="B67" t="s">
        <v>8</v>
      </c>
      <c r="C67" s="3">
        <f>COUNTIF('Alle ruter'!$I$3:$I$98,'H2 pr endeplass'!A67)+COUNTIFS('Alle ruter'!$J$3:$J$98,'H2 pr endeplass'!A67,'Alle ruter'!$K$3:$K$98,"Nei")</f>
        <v>1</v>
      </c>
      <c r="D67" s="3">
        <f>COUNTIFS('Alle ruter'!$I$3:$I$98,'H2 pr endeplass'!A67,'Alle ruter'!$Z$3:$Z$98,"H2")+COUNTIFS('Alle ruter'!$J$3:$J$98,'H2 pr endeplass'!A67,'Alle ruter'!$K$3:$K$98,"Nei",'Alle ruter'!$Z$3:$Z$98,"H2")</f>
        <v>0</v>
      </c>
      <c r="E67">
        <v>0</v>
      </c>
      <c r="F67" s="3">
        <f>SUMIFS('Alle ruter'!$AC$3:$AC$98,'Alle ruter'!$Z$3:$Z$98,"H2",'Alle ruter'!$I$3:$I$98,$A67,'Alle ruter'!$AJ$3:$AJ$98,"&lt;="&amp;F$2)/2+SUMIFS('Alle ruter'!$AC$3:$AC$98,'Alle ruter'!$Z$3:$Z$98,"H2",'Alle ruter'!$J$3:$J$98,$A67,'Alle ruter'!$AJ$3:$AJ$98,"&lt;="&amp;F$2)/2</f>
        <v>0</v>
      </c>
      <c r="G67" s="3">
        <f>SUMIFS('Alle ruter'!$AC$3:$AC$98,'Alle ruter'!$Z$3:$Z$98,"H2",'Alle ruter'!$I$3:$I$98,$A67,'Alle ruter'!$AJ$3:$AJ$98,"&lt;="&amp;G$2)/2+SUMIFS('Alle ruter'!$AC$3:$AC$98,'Alle ruter'!$Z$3:$Z$98,"H2",'Alle ruter'!$J$3:$J$98,$A67,'Alle ruter'!$AJ$3:$AJ$98,"&lt;="&amp;G$2)/2</f>
        <v>0</v>
      </c>
      <c r="H67" s="3">
        <f>SUMIFS('Alle ruter'!$AC$3:$AC$98,'Alle ruter'!$Z$3:$Z$98,"H2",'Alle ruter'!$I$3:$I$98,$A67,'Alle ruter'!$AJ$3:$AJ$98,"&lt;="&amp;H$2)/2+SUMIFS('Alle ruter'!$AC$3:$AC$98,'Alle ruter'!$Z$3:$Z$98,"H2",'Alle ruter'!$J$3:$J$98,$A67,'Alle ruter'!$AJ$3:$AJ$98,"&lt;="&amp;H$2)/2</f>
        <v>0</v>
      </c>
      <c r="I67" s="3">
        <f>SUMIFS('Alle ruter'!$AC$3:$AC$98,'Alle ruter'!$Z$3:$Z$98,"H2",'Alle ruter'!$I$3:$I$98,$A67,'Alle ruter'!$AJ$3:$AJ$98,"&lt;="&amp;I$2)/2+SUMIFS('Alle ruter'!$AC$3:$AC$98,'Alle ruter'!$Z$3:$Z$98,"H2",'Alle ruter'!$J$3:$J$98,$A67,'Alle ruter'!$AJ$3:$AJ$98,"&lt;="&amp;I$2)/2</f>
        <v>0</v>
      </c>
      <c r="J67" s="3">
        <f>SUMIFS('Alle ruter'!$AC$3:$AC$98,'Alle ruter'!$Z$3:$Z$98,"H2",'Alle ruter'!$I$3:$I$98,$A67,'Alle ruter'!$AJ$3:$AJ$98,"&lt;="&amp;J$2)/2+SUMIFS('Alle ruter'!$AC$3:$AC$98,'Alle ruter'!$Z$3:$Z$98,"H2",'Alle ruter'!$J$3:$J$98,$A67,'Alle ruter'!$AJ$3:$AJ$98,"&lt;="&amp;J$2)/2</f>
        <v>0</v>
      </c>
      <c r="K67" s="3">
        <f>SUMIFS('Alle ruter'!$AC$3:$AC$98,'Alle ruter'!$Z$3:$Z$98,"H2",'Alle ruter'!$I$3:$I$98,$A67,'Alle ruter'!$AJ$3:$AJ$98,"&lt;="&amp;K$2)/2+SUMIFS('Alle ruter'!$AC$3:$AC$98,'Alle ruter'!$Z$3:$Z$98,"H2",'Alle ruter'!$J$3:$J$98,$A67,'Alle ruter'!$AJ$3:$AJ$98,"&lt;="&amp;K$2)/2</f>
        <v>0</v>
      </c>
      <c r="L67" s="3">
        <f>SUMIFS('Alle ruter'!$AC$3:$AC$98,'Alle ruter'!$Z$3:$Z$98,"H2",'Alle ruter'!$I$3:$I$98,$A67,'Alle ruter'!$AJ$3:$AJ$98,"&lt;="&amp;L$2)/2+SUMIFS('Alle ruter'!$AC$3:$AC$98,'Alle ruter'!$Z$3:$Z$98,"H2",'Alle ruter'!$J$3:$J$98,$A67,'Alle ruter'!$AJ$3:$AJ$98,"&lt;="&amp;L$2)/2</f>
        <v>0</v>
      </c>
      <c r="M67" s="3">
        <f>SUMIFS('Alle ruter'!$AC$3:$AC$98,'Alle ruter'!$Z$3:$Z$98,"H2",'Alle ruter'!$I$3:$I$98,$A67,'Alle ruter'!$AJ$3:$AJ$98,"&lt;="&amp;M$2)/2+SUMIFS('Alle ruter'!$AC$3:$AC$98,'Alle ruter'!$Z$3:$Z$98,"H2",'Alle ruter'!$J$3:$J$98,$A67,'Alle ruter'!$AJ$3:$AJ$98,"&lt;="&amp;M$2)/2</f>
        <v>0</v>
      </c>
      <c r="N67" s="3">
        <f>SUMIFS('Alle ruter'!$AC$3:$AC$98,'Alle ruter'!$Z$3:$Z$98,"H2",'Alle ruter'!$I$3:$I$98,$A67,'Alle ruter'!$AJ$3:$AJ$98,"&lt;="&amp;N$2)/2+SUMIFS('Alle ruter'!$AC$3:$AC$98,'Alle ruter'!$Z$3:$Z$98,"H2",'Alle ruter'!$J$3:$J$98,$A67,'Alle ruter'!$AJ$3:$AJ$98,"&lt;="&amp;N$2)/2</f>
        <v>0</v>
      </c>
      <c r="O67" s="3">
        <f>SUMIFS('Alle ruter'!$AC$3:$AC$98,'Alle ruter'!$Z$3:$Z$98,"H2",'Alle ruter'!$I$3:$I$98,$A67,'Alle ruter'!$AJ$3:$AJ$98,"&lt;="&amp;O$2)/2+SUMIFS('Alle ruter'!$AC$3:$AC$98,'Alle ruter'!$Z$3:$Z$98,"H2",'Alle ruter'!$J$3:$J$98,$A67,'Alle ruter'!$AJ$3:$AJ$98,"&lt;="&amp;O$2)/2</f>
        <v>0</v>
      </c>
      <c r="P67" s="3">
        <f>SUMIFS('Alle ruter'!$AC$3:$AC$98,'Alle ruter'!$Z$3:$Z$98,"H2",'Alle ruter'!$I$3:$I$98,$A67,'Alle ruter'!$AJ$3:$AJ$98,"&lt;="&amp;P$2)/2+SUMIFS('Alle ruter'!$AC$3:$AC$98,'Alle ruter'!$Z$3:$Z$98,"H2",'Alle ruter'!$J$3:$J$98,$A67,'Alle ruter'!$AJ$3:$AJ$98,"&lt;="&amp;P$2)/2</f>
        <v>0</v>
      </c>
      <c r="Q67" s="3">
        <f>SUMIFS('Alle ruter'!$AC$3:$AC$98,'Alle ruter'!$Z$3:$Z$98,"H2",'Alle ruter'!$I$3:$I$98,$A67,'Alle ruter'!$AJ$3:$AJ$98,"&lt;="&amp;Q$2)/2+SUMIFS('Alle ruter'!$AC$3:$AC$98,'Alle ruter'!$Z$3:$Z$98,"H2",'Alle ruter'!$J$3:$J$98,$A67,'Alle ruter'!$AJ$3:$AJ$98,"&lt;="&amp;Q$2)/2</f>
        <v>0</v>
      </c>
      <c r="R67" s="3">
        <f>SUMIFS('Alle ruter'!$AC$3:$AC$98,'Alle ruter'!$Z$3:$Z$98,"H2",'Alle ruter'!$I$3:$I$98,$A67,'Alle ruter'!$AJ$3:$AJ$98,"&lt;="&amp;R$2)/2+SUMIFS('Alle ruter'!$AC$3:$AC$98,'Alle ruter'!$Z$3:$Z$98,"H2",'Alle ruter'!$J$3:$J$98,$A67,'Alle ruter'!$AJ$3:$AJ$98,"&lt;="&amp;R$2)/2</f>
        <v>0</v>
      </c>
      <c r="S67" s="3">
        <f>SUMIFS('Alle ruter'!$AC$3:$AC$98,'Alle ruter'!$Z$3:$Z$98,"H2",'Alle ruter'!$I$3:$I$98,$A67,'Alle ruter'!$AJ$3:$AJ$98,"&lt;="&amp;S$2)/2+SUMIFS('Alle ruter'!$AC$3:$AC$98,'Alle ruter'!$Z$3:$Z$98,"H2",'Alle ruter'!$J$3:$J$98,$A67,'Alle ruter'!$AJ$3:$AJ$98,"&lt;="&amp;S$2)/2</f>
        <v>0</v>
      </c>
      <c r="T67" s="3"/>
    </row>
    <row r="68" spans="1:20" x14ac:dyDescent="0.3">
      <c r="A68" t="s">
        <v>181</v>
      </c>
      <c r="B68" t="s">
        <v>388</v>
      </c>
      <c r="C68" s="3">
        <f>COUNTIF('Alle ruter'!$I$3:$I$98,'H2 pr endeplass'!A68)+COUNTIFS('Alle ruter'!$J$3:$J$98,'H2 pr endeplass'!A68,'Alle ruter'!$K$3:$K$98,"Nei")</f>
        <v>1</v>
      </c>
      <c r="D68" s="3">
        <f>COUNTIFS('Alle ruter'!$I$3:$I$98,'H2 pr endeplass'!A68,'Alle ruter'!$Z$3:$Z$98,"H2")+COUNTIFS('Alle ruter'!$J$3:$J$98,'H2 pr endeplass'!A68,'Alle ruter'!$K$3:$K$98,"Nei",'Alle ruter'!$Z$3:$Z$98,"H2")</f>
        <v>0</v>
      </c>
      <c r="E68">
        <v>0</v>
      </c>
      <c r="F68" s="3">
        <f>SUMIFS('Alle ruter'!$AC$3:$AC$98,'Alle ruter'!$Z$3:$Z$98,"H2",'Alle ruter'!$I$3:$I$98,$A68,'Alle ruter'!$AJ$3:$AJ$98,"&lt;="&amp;F$2)/2+SUMIFS('Alle ruter'!$AC$3:$AC$98,'Alle ruter'!$Z$3:$Z$98,"H2",'Alle ruter'!$J$3:$J$98,$A68,'Alle ruter'!$AJ$3:$AJ$98,"&lt;="&amp;F$2)/2</f>
        <v>0</v>
      </c>
      <c r="G68" s="3">
        <f>SUMIFS('Alle ruter'!$AC$3:$AC$98,'Alle ruter'!$Z$3:$Z$98,"H2",'Alle ruter'!$I$3:$I$98,$A68,'Alle ruter'!$AJ$3:$AJ$98,"&lt;="&amp;G$2)/2+SUMIFS('Alle ruter'!$AC$3:$AC$98,'Alle ruter'!$Z$3:$Z$98,"H2",'Alle ruter'!$J$3:$J$98,$A68,'Alle ruter'!$AJ$3:$AJ$98,"&lt;="&amp;G$2)/2</f>
        <v>0</v>
      </c>
      <c r="H68" s="3">
        <f>SUMIFS('Alle ruter'!$AC$3:$AC$98,'Alle ruter'!$Z$3:$Z$98,"H2",'Alle ruter'!$I$3:$I$98,$A68,'Alle ruter'!$AJ$3:$AJ$98,"&lt;="&amp;H$2)/2+SUMIFS('Alle ruter'!$AC$3:$AC$98,'Alle ruter'!$Z$3:$Z$98,"H2",'Alle ruter'!$J$3:$J$98,$A68,'Alle ruter'!$AJ$3:$AJ$98,"&lt;="&amp;H$2)/2</f>
        <v>0</v>
      </c>
      <c r="I68" s="3">
        <f>SUMIFS('Alle ruter'!$AC$3:$AC$98,'Alle ruter'!$Z$3:$Z$98,"H2",'Alle ruter'!$I$3:$I$98,$A68,'Alle ruter'!$AJ$3:$AJ$98,"&lt;="&amp;I$2)/2+SUMIFS('Alle ruter'!$AC$3:$AC$98,'Alle ruter'!$Z$3:$Z$98,"H2",'Alle ruter'!$J$3:$J$98,$A68,'Alle ruter'!$AJ$3:$AJ$98,"&lt;="&amp;I$2)/2</f>
        <v>0</v>
      </c>
      <c r="J68" s="3">
        <f>SUMIFS('Alle ruter'!$AC$3:$AC$98,'Alle ruter'!$Z$3:$Z$98,"H2",'Alle ruter'!$I$3:$I$98,$A68,'Alle ruter'!$AJ$3:$AJ$98,"&lt;="&amp;J$2)/2+SUMIFS('Alle ruter'!$AC$3:$AC$98,'Alle ruter'!$Z$3:$Z$98,"H2",'Alle ruter'!$J$3:$J$98,$A68,'Alle ruter'!$AJ$3:$AJ$98,"&lt;="&amp;J$2)/2</f>
        <v>0</v>
      </c>
      <c r="K68" s="3">
        <f>SUMIFS('Alle ruter'!$AC$3:$AC$98,'Alle ruter'!$Z$3:$Z$98,"H2",'Alle ruter'!$I$3:$I$98,$A68,'Alle ruter'!$AJ$3:$AJ$98,"&lt;="&amp;K$2)/2+SUMIFS('Alle ruter'!$AC$3:$AC$98,'Alle ruter'!$Z$3:$Z$98,"H2",'Alle ruter'!$J$3:$J$98,$A68,'Alle ruter'!$AJ$3:$AJ$98,"&lt;="&amp;K$2)/2</f>
        <v>0</v>
      </c>
      <c r="L68" s="3">
        <f>SUMIFS('Alle ruter'!$AC$3:$AC$98,'Alle ruter'!$Z$3:$Z$98,"H2",'Alle ruter'!$I$3:$I$98,$A68,'Alle ruter'!$AJ$3:$AJ$98,"&lt;="&amp;L$2)/2+SUMIFS('Alle ruter'!$AC$3:$AC$98,'Alle ruter'!$Z$3:$Z$98,"H2",'Alle ruter'!$J$3:$J$98,$A68,'Alle ruter'!$AJ$3:$AJ$98,"&lt;="&amp;L$2)/2</f>
        <v>0</v>
      </c>
      <c r="M68" s="3">
        <f>SUMIFS('Alle ruter'!$AC$3:$AC$98,'Alle ruter'!$Z$3:$Z$98,"H2",'Alle ruter'!$I$3:$I$98,$A68,'Alle ruter'!$AJ$3:$AJ$98,"&lt;="&amp;M$2)/2+SUMIFS('Alle ruter'!$AC$3:$AC$98,'Alle ruter'!$Z$3:$Z$98,"H2",'Alle ruter'!$J$3:$J$98,$A68,'Alle ruter'!$AJ$3:$AJ$98,"&lt;="&amp;M$2)/2</f>
        <v>0</v>
      </c>
      <c r="N68" s="3">
        <f>SUMIFS('Alle ruter'!$AC$3:$AC$98,'Alle ruter'!$Z$3:$Z$98,"H2",'Alle ruter'!$I$3:$I$98,$A68,'Alle ruter'!$AJ$3:$AJ$98,"&lt;="&amp;N$2)/2+SUMIFS('Alle ruter'!$AC$3:$AC$98,'Alle ruter'!$Z$3:$Z$98,"H2",'Alle ruter'!$J$3:$J$98,$A68,'Alle ruter'!$AJ$3:$AJ$98,"&lt;="&amp;N$2)/2</f>
        <v>0</v>
      </c>
      <c r="O68" s="3">
        <f>SUMIFS('Alle ruter'!$AC$3:$AC$98,'Alle ruter'!$Z$3:$Z$98,"H2",'Alle ruter'!$I$3:$I$98,$A68,'Alle ruter'!$AJ$3:$AJ$98,"&lt;="&amp;O$2)/2+SUMIFS('Alle ruter'!$AC$3:$AC$98,'Alle ruter'!$Z$3:$Z$98,"H2",'Alle ruter'!$J$3:$J$98,$A68,'Alle ruter'!$AJ$3:$AJ$98,"&lt;="&amp;O$2)/2</f>
        <v>0</v>
      </c>
      <c r="P68" s="3">
        <f>SUMIFS('Alle ruter'!$AC$3:$AC$98,'Alle ruter'!$Z$3:$Z$98,"H2",'Alle ruter'!$I$3:$I$98,$A68,'Alle ruter'!$AJ$3:$AJ$98,"&lt;="&amp;P$2)/2+SUMIFS('Alle ruter'!$AC$3:$AC$98,'Alle ruter'!$Z$3:$Z$98,"H2",'Alle ruter'!$J$3:$J$98,$A68,'Alle ruter'!$AJ$3:$AJ$98,"&lt;="&amp;P$2)/2</f>
        <v>0</v>
      </c>
      <c r="Q68" s="3">
        <f>SUMIFS('Alle ruter'!$AC$3:$AC$98,'Alle ruter'!$Z$3:$Z$98,"H2",'Alle ruter'!$I$3:$I$98,$A68,'Alle ruter'!$AJ$3:$AJ$98,"&lt;="&amp;Q$2)/2+SUMIFS('Alle ruter'!$AC$3:$AC$98,'Alle ruter'!$Z$3:$Z$98,"H2",'Alle ruter'!$J$3:$J$98,$A68,'Alle ruter'!$AJ$3:$AJ$98,"&lt;="&amp;Q$2)/2</f>
        <v>0</v>
      </c>
      <c r="R68" s="3">
        <f>SUMIFS('Alle ruter'!$AC$3:$AC$98,'Alle ruter'!$Z$3:$Z$98,"H2",'Alle ruter'!$I$3:$I$98,$A68,'Alle ruter'!$AJ$3:$AJ$98,"&lt;="&amp;R$2)/2+SUMIFS('Alle ruter'!$AC$3:$AC$98,'Alle ruter'!$Z$3:$Z$98,"H2",'Alle ruter'!$J$3:$J$98,$A68,'Alle ruter'!$AJ$3:$AJ$98,"&lt;="&amp;R$2)/2</f>
        <v>0</v>
      </c>
      <c r="S68" s="3">
        <f>SUMIFS('Alle ruter'!$AC$3:$AC$98,'Alle ruter'!$Z$3:$Z$98,"H2",'Alle ruter'!$I$3:$I$98,$A68,'Alle ruter'!$AJ$3:$AJ$98,"&lt;="&amp;S$2)/2+SUMIFS('Alle ruter'!$AC$3:$AC$98,'Alle ruter'!$Z$3:$Z$98,"H2",'Alle ruter'!$J$3:$J$98,$A68,'Alle ruter'!$AJ$3:$AJ$98,"&lt;="&amp;S$2)/2</f>
        <v>0</v>
      </c>
      <c r="T68" s="3"/>
    </row>
    <row r="69" spans="1:20" x14ac:dyDescent="0.3">
      <c r="A69" t="s">
        <v>170</v>
      </c>
      <c r="B69" s="5"/>
      <c r="C69" s="3">
        <f>COUNTIF('Alle ruter'!$I$3:$I$98,'H2 pr endeplass'!A69)+COUNTIFS('Alle ruter'!$J$3:$J$98,'H2 pr endeplass'!A69,'Alle ruter'!$K$3:$K$98,"Nei")</f>
        <v>1</v>
      </c>
      <c r="D69" s="3">
        <f>COUNTIFS('Alle ruter'!$I$3:$I$98,'H2 pr endeplass'!A69,'Alle ruter'!$Z$3:$Z$98,"H2")+COUNTIFS('Alle ruter'!$J$3:$J$98,'H2 pr endeplass'!A69,'Alle ruter'!$K$3:$K$98,"Nei",'Alle ruter'!$Z$3:$Z$98,"H2")</f>
        <v>0</v>
      </c>
      <c r="E69">
        <v>0</v>
      </c>
      <c r="F69" s="3">
        <f>SUMIFS('Alle ruter'!$AC$3:$AC$98,'Alle ruter'!$Z$3:$Z$98,"H2",'Alle ruter'!$I$3:$I$98,$A69,'Alle ruter'!$AJ$3:$AJ$98,"&lt;="&amp;F$2)/2+SUMIFS('Alle ruter'!$AC$3:$AC$98,'Alle ruter'!$Z$3:$Z$98,"H2",'Alle ruter'!$J$3:$J$98,$A69,'Alle ruter'!$AJ$3:$AJ$98,"&lt;="&amp;F$2)/2</f>
        <v>0</v>
      </c>
      <c r="G69" s="3">
        <f>SUMIFS('Alle ruter'!$AC$3:$AC$98,'Alle ruter'!$Z$3:$Z$98,"H2",'Alle ruter'!$I$3:$I$98,$A69,'Alle ruter'!$AJ$3:$AJ$98,"&lt;="&amp;G$2)/2+SUMIFS('Alle ruter'!$AC$3:$AC$98,'Alle ruter'!$Z$3:$Z$98,"H2",'Alle ruter'!$J$3:$J$98,$A69,'Alle ruter'!$AJ$3:$AJ$98,"&lt;="&amp;G$2)/2</f>
        <v>0</v>
      </c>
      <c r="H69" s="3">
        <f>SUMIFS('Alle ruter'!$AC$3:$AC$98,'Alle ruter'!$Z$3:$Z$98,"H2",'Alle ruter'!$I$3:$I$98,$A69,'Alle ruter'!$AJ$3:$AJ$98,"&lt;="&amp;H$2)/2+SUMIFS('Alle ruter'!$AC$3:$AC$98,'Alle ruter'!$Z$3:$Z$98,"H2",'Alle ruter'!$J$3:$J$98,$A69,'Alle ruter'!$AJ$3:$AJ$98,"&lt;="&amp;H$2)/2</f>
        <v>0</v>
      </c>
      <c r="I69" s="3">
        <f>SUMIFS('Alle ruter'!$AC$3:$AC$98,'Alle ruter'!$Z$3:$Z$98,"H2",'Alle ruter'!$I$3:$I$98,$A69,'Alle ruter'!$AJ$3:$AJ$98,"&lt;="&amp;I$2)/2+SUMIFS('Alle ruter'!$AC$3:$AC$98,'Alle ruter'!$Z$3:$Z$98,"H2",'Alle ruter'!$J$3:$J$98,$A69,'Alle ruter'!$AJ$3:$AJ$98,"&lt;="&amp;I$2)/2</f>
        <v>0</v>
      </c>
      <c r="J69" s="3">
        <f>SUMIFS('Alle ruter'!$AC$3:$AC$98,'Alle ruter'!$Z$3:$Z$98,"H2",'Alle ruter'!$I$3:$I$98,$A69,'Alle ruter'!$AJ$3:$AJ$98,"&lt;="&amp;J$2)/2+SUMIFS('Alle ruter'!$AC$3:$AC$98,'Alle ruter'!$Z$3:$Z$98,"H2",'Alle ruter'!$J$3:$J$98,$A69,'Alle ruter'!$AJ$3:$AJ$98,"&lt;="&amp;J$2)/2</f>
        <v>0</v>
      </c>
      <c r="K69" s="3">
        <f>SUMIFS('Alle ruter'!$AC$3:$AC$98,'Alle ruter'!$Z$3:$Z$98,"H2",'Alle ruter'!$I$3:$I$98,$A69,'Alle ruter'!$AJ$3:$AJ$98,"&lt;="&amp;K$2)/2+SUMIFS('Alle ruter'!$AC$3:$AC$98,'Alle ruter'!$Z$3:$Z$98,"H2",'Alle ruter'!$J$3:$J$98,$A69,'Alle ruter'!$AJ$3:$AJ$98,"&lt;="&amp;K$2)/2</f>
        <v>0</v>
      </c>
      <c r="L69" s="3">
        <f>SUMIFS('Alle ruter'!$AC$3:$AC$98,'Alle ruter'!$Z$3:$Z$98,"H2",'Alle ruter'!$I$3:$I$98,$A69,'Alle ruter'!$AJ$3:$AJ$98,"&lt;="&amp;L$2)/2+SUMIFS('Alle ruter'!$AC$3:$AC$98,'Alle ruter'!$Z$3:$Z$98,"H2",'Alle ruter'!$J$3:$J$98,$A69,'Alle ruter'!$AJ$3:$AJ$98,"&lt;="&amp;L$2)/2</f>
        <v>0</v>
      </c>
      <c r="M69" s="3">
        <f>SUMIFS('Alle ruter'!$AC$3:$AC$98,'Alle ruter'!$Z$3:$Z$98,"H2",'Alle ruter'!$I$3:$I$98,$A69,'Alle ruter'!$AJ$3:$AJ$98,"&lt;="&amp;M$2)/2+SUMIFS('Alle ruter'!$AC$3:$AC$98,'Alle ruter'!$Z$3:$Z$98,"H2",'Alle ruter'!$J$3:$J$98,$A69,'Alle ruter'!$AJ$3:$AJ$98,"&lt;="&amp;M$2)/2</f>
        <v>0</v>
      </c>
      <c r="N69" s="3">
        <f>SUMIFS('Alle ruter'!$AC$3:$AC$98,'Alle ruter'!$Z$3:$Z$98,"H2",'Alle ruter'!$I$3:$I$98,$A69,'Alle ruter'!$AJ$3:$AJ$98,"&lt;="&amp;N$2)/2+SUMIFS('Alle ruter'!$AC$3:$AC$98,'Alle ruter'!$Z$3:$Z$98,"H2",'Alle ruter'!$J$3:$J$98,$A69,'Alle ruter'!$AJ$3:$AJ$98,"&lt;="&amp;N$2)/2</f>
        <v>0</v>
      </c>
      <c r="O69" s="3">
        <f>SUMIFS('Alle ruter'!$AC$3:$AC$98,'Alle ruter'!$Z$3:$Z$98,"H2",'Alle ruter'!$I$3:$I$98,$A69,'Alle ruter'!$AJ$3:$AJ$98,"&lt;="&amp;O$2)/2+SUMIFS('Alle ruter'!$AC$3:$AC$98,'Alle ruter'!$Z$3:$Z$98,"H2",'Alle ruter'!$J$3:$J$98,$A69,'Alle ruter'!$AJ$3:$AJ$98,"&lt;="&amp;O$2)/2</f>
        <v>0</v>
      </c>
      <c r="P69" s="3">
        <f>SUMIFS('Alle ruter'!$AC$3:$AC$98,'Alle ruter'!$Z$3:$Z$98,"H2",'Alle ruter'!$I$3:$I$98,$A69,'Alle ruter'!$AJ$3:$AJ$98,"&lt;="&amp;P$2)/2+SUMIFS('Alle ruter'!$AC$3:$AC$98,'Alle ruter'!$Z$3:$Z$98,"H2",'Alle ruter'!$J$3:$J$98,$A69,'Alle ruter'!$AJ$3:$AJ$98,"&lt;="&amp;P$2)/2</f>
        <v>0</v>
      </c>
      <c r="Q69" s="3">
        <f>SUMIFS('Alle ruter'!$AC$3:$AC$98,'Alle ruter'!$Z$3:$Z$98,"H2",'Alle ruter'!$I$3:$I$98,$A69,'Alle ruter'!$AJ$3:$AJ$98,"&lt;="&amp;Q$2)/2+SUMIFS('Alle ruter'!$AC$3:$AC$98,'Alle ruter'!$Z$3:$Z$98,"H2",'Alle ruter'!$J$3:$J$98,$A69,'Alle ruter'!$AJ$3:$AJ$98,"&lt;="&amp;Q$2)/2</f>
        <v>0</v>
      </c>
      <c r="R69" s="3">
        <f>SUMIFS('Alle ruter'!$AC$3:$AC$98,'Alle ruter'!$Z$3:$Z$98,"H2",'Alle ruter'!$I$3:$I$98,$A69,'Alle ruter'!$AJ$3:$AJ$98,"&lt;="&amp;R$2)/2+SUMIFS('Alle ruter'!$AC$3:$AC$98,'Alle ruter'!$Z$3:$Z$98,"H2",'Alle ruter'!$J$3:$J$98,$A69,'Alle ruter'!$AJ$3:$AJ$98,"&lt;="&amp;R$2)/2</f>
        <v>0</v>
      </c>
      <c r="S69" s="3">
        <f>SUMIFS('Alle ruter'!$AC$3:$AC$98,'Alle ruter'!$Z$3:$Z$98,"H2",'Alle ruter'!$I$3:$I$98,$A69,'Alle ruter'!$AJ$3:$AJ$98,"&lt;="&amp;S$2)/2+SUMIFS('Alle ruter'!$AC$3:$AC$98,'Alle ruter'!$Z$3:$Z$98,"H2",'Alle ruter'!$J$3:$J$98,$A69,'Alle ruter'!$AJ$3:$AJ$98,"&lt;="&amp;S$2)/2</f>
        <v>0</v>
      </c>
      <c r="T69" s="3"/>
    </row>
    <row r="70" spans="1:20" x14ac:dyDescent="0.3">
      <c r="A70" t="s">
        <v>171</v>
      </c>
      <c r="B70" s="5"/>
      <c r="C70" s="3">
        <f>COUNTIF('Alle ruter'!$I$3:$I$98,'H2 pr endeplass'!A70)+COUNTIFS('Alle ruter'!$J$3:$J$98,'H2 pr endeplass'!A70,'Alle ruter'!$K$3:$K$98,"Nei")</f>
        <v>1</v>
      </c>
      <c r="D70" s="3">
        <f>COUNTIFS('Alle ruter'!$I$3:$I$98,'H2 pr endeplass'!A70,'Alle ruter'!$Z$3:$Z$98,"H2")+COUNTIFS('Alle ruter'!$J$3:$J$98,'H2 pr endeplass'!A70,'Alle ruter'!$K$3:$K$98,"Nei",'Alle ruter'!$Z$3:$Z$98,"H2")</f>
        <v>0</v>
      </c>
      <c r="E70">
        <v>0</v>
      </c>
      <c r="F70" s="3">
        <f>SUMIFS('Alle ruter'!$AC$3:$AC$98,'Alle ruter'!$Z$3:$Z$98,"H2",'Alle ruter'!$I$3:$I$98,$A70,'Alle ruter'!$AJ$3:$AJ$98,"&lt;="&amp;F$2)/2+SUMIFS('Alle ruter'!$AC$3:$AC$98,'Alle ruter'!$Z$3:$Z$98,"H2",'Alle ruter'!$J$3:$J$98,$A70,'Alle ruter'!$AJ$3:$AJ$98,"&lt;="&amp;F$2)/2</f>
        <v>0</v>
      </c>
      <c r="G70" s="3">
        <f>SUMIFS('Alle ruter'!$AC$3:$AC$98,'Alle ruter'!$Z$3:$Z$98,"H2",'Alle ruter'!$I$3:$I$98,$A70,'Alle ruter'!$AJ$3:$AJ$98,"&lt;="&amp;G$2)/2+SUMIFS('Alle ruter'!$AC$3:$AC$98,'Alle ruter'!$Z$3:$Z$98,"H2",'Alle ruter'!$J$3:$J$98,$A70,'Alle ruter'!$AJ$3:$AJ$98,"&lt;="&amp;G$2)/2</f>
        <v>0</v>
      </c>
      <c r="H70" s="3">
        <f>SUMIFS('Alle ruter'!$AC$3:$AC$98,'Alle ruter'!$Z$3:$Z$98,"H2",'Alle ruter'!$I$3:$I$98,$A70,'Alle ruter'!$AJ$3:$AJ$98,"&lt;="&amp;H$2)/2+SUMIFS('Alle ruter'!$AC$3:$AC$98,'Alle ruter'!$Z$3:$Z$98,"H2",'Alle ruter'!$J$3:$J$98,$A70,'Alle ruter'!$AJ$3:$AJ$98,"&lt;="&amp;H$2)/2</f>
        <v>0</v>
      </c>
      <c r="I70" s="3">
        <f>SUMIFS('Alle ruter'!$AC$3:$AC$98,'Alle ruter'!$Z$3:$Z$98,"H2",'Alle ruter'!$I$3:$I$98,$A70,'Alle ruter'!$AJ$3:$AJ$98,"&lt;="&amp;I$2)/2+SUMIFS('Alle ruter'!$AC$3:$AC$98,'Alle ruter'!$Z$3:$Z$98,"H2",'Alle ruter'!$J$3:$J$98,$A70,'Alle ruter'!$AJ$3:$AJ$98,"&lt;="&amp;I$2)/2</f>
        <v>0</v>
      </c>
      <c r="J70" s="3">
        <f>SUMIFS('Alle ruter'!$AC$3:$AC$98,'Alle ruter'!$Z$3:$Z$98,"H2",'Alle ruter'!$I$3:$I$98,$A70,'Alle ruter'!$AJ$3:$AJ$98,"&lt;="&amp;J$2)/2+SUMIFS('Alle ruter'!$AC$3:$AC$98,'Alle ruter'!$Z$3:$Z$98,"H2",'Alle ruter'!$J$3:$J$98,$A70,'Alle ruter'!$AJ$3:$AJ$98,"&lt;="&amp;J$2)/2</f>
        <v>0</v>
      </c>
      <c r="K70" s="3">
        <f>SUMIFS('Alle ruter'!$AC$3:$AC$98,'Alle ruter'!$Z$3:$Z$98,"H2",'Alle ruter'!$I$3:$I$98,$A70,'Alle ruter'!$AJ$3:$AJ$98,"&lt;="&amp;K$2)/2+SUMIFS('Alle ruter'!$AC$3:$AC$98,'Alle ruter'!$Z$3:$Z$98,"H2",'Alle ruter'!$J$3:$J$98,$A70,'Alle ruter'!$AJ$3:$AJ$98,"&lt;="&amp;K$2)/2</f>
        <v>0</v>
      </c>
      <c r="L70" s="3">
        <f>SUMIFS('Alle ruter'!$AC$3:$AC$98,'Alle ruter'!$Z$3:$Z$98,"H2",'Alle ruter'!$I$3:$I$98,$A70,'Alle ruter'!$AJ$3:$AJ$98,"&lt;="&amp;L$2)/2+SUMIFS('Alle ruter'!$AC$3:$AC$98,'Alle ruter'!$Z$3:$Z$98,"H2",'Alle ruter'!$J$3:$J$98,$A70,'Alle ruter'!$AJ$3:$AJ$98,"&lt;="&amp;L$2)/2</f>
        <v>0</v>
      </c>
      <c r="M70" s="3">
        <f>SUMIFS('Alle ruter'!$AC$3:$AC$98,'Alle ruter'!$Z$3:$Z$98,"H2",'Alle ruter'!$I$3:$I$98,$A70,'Alle ruter'!$AJ$3:$AJ$98,"&lt;="&amp;M$2)/2+SUMIFS('Alle ruter'!$AC$3:$AC$98,'Alle ruter'!$Z$3:$Z$98,"H2",'Alle ruter'!$J$3:$J$98,$A70,'Alle ruter'!$AJ$3:$AJ$98,"&lt;="&amp;M$2)/2</f>
        <v>0</v>
      </c>
      <c r="N70" s="3">
        <f>SUMIFS('Alle ruter'!$AC$3:$AC$98,'Alle ruter'!$Z$3:$Z$98,"H2",'Alle ruter'!$I$3:$I$98,$A70,'Alle ruter'!$AJ$3:$AJ$98,"&lt;="&amp;N$2)/2+SUMIFS('Alle ruter'!$AC$3:$AC$98,'Alle ruter'!$Z$3:$Z$98,"H2",'Alle ruter'!$J$3:$J$98,$A70,'Alle ruter'!$AJ$3:$AJ$98,"&lt;="&amp;N$2)/2</f>
        <v>0</v>
      </c>
      <c r="O70" s="3">
        <f>SUMIFS('Alle ruter'!$AC$3:$AC$98,'Alle ruter'!$Z$3:$Z$98,"H2",'Alle ruter'!$I$3:$I$98,$A70,'Alle ruter'!$AJ$3:$AJ$98,"&lt;="&amp;O$2)/2+SUMIFS('Alle ruter'!$AC$3:$AC$98,'Alle ruter'!$Z$3:$Z$98,"H2",'Alle ruter'!$J$3:$J$98,$A70,'Alle ruter'!$AJ$3:$AJ$98,"&lt;="&amp;O$2)/2</f>
        <v>0</v>
      </c>
      <c r="P70" s="3">
        <f>SUMIFS('Alle ruter'!$AC$3:$AC$98,'Alle ruter'!$Z$3:$Z$98,"H2",'Alle ruter'!$I$3:$I$98,$A70,'Alle ruter'!$AJ$3:$AJ$98,"&lt;="&amp;P$2)/2+SUMIFS('Alle ruter'!$AC$3:$AC$98,'Alle ruter'!$Z$3:$Z$98,"H2",'Alle ruter'!$J$3:$J$98,$A70,'Alle ruter'!$AJ$3:$AJ$98,"&lt;="&amp;P$2)/2</f>
        <v>0</v>
      </c>
      <c r="Q70" s="3">
        <f>SUMIFS('Alle ruter'!$AC$3:$AC$98,'Alle ruter'!$Z$3:$Z$98,"H2",'Alle ruter'!$I$3:$I$98,$A70,'Alle ruter'!$AJ$3:$AJ$98,"&lt;="&amp;Q$2)/2+SUMIFS('Alle ruter'!$AC$3:$AC$98,'Alle ruter'!$Z$3:$Z$98,"H2",'Alle ruter'!$J$3:$J$98,$A70,'Alle ruter'!$AJ$3:$AJ$98,"&lt;="&amp;Q$2)/2</f>
        <v>0</v>
      </c>
      <c r="R70" s="3">
        <f>SUMIFS('Alle ruter'!$AC$3:$AC$98,'Alle ruter'!$Z$3:$Z$98,"H2",'Alle ruter'!$I$3:$I$98,$A70,'Alle ruter'!$AJ$3:$AJ$98,"&lt;="&amp;R$2)/2+SUMIFS('Alle ruter'!$AC$3:$AC$98,'Alle ruter'!$Z$3:$Z$98,"H2",'Alle ruter'!$J$3:$J$98,$A70,'Alle ruter'!$AJ$3:$AJ$98,"&lt;="&amp;R$2)/2</f>
        <v>0</v>
      </c>
      <c r="S70" s="3">
        <f>SUMIFS('Alle ruter'!$AC$3:$AC$98,'Alle ruter'!$Z$3:$Z$98,"H2",'Alle ruter'!$I$3:$I$98,$A70,'Alle ruter'!$AJ$3:$AJ$98,"&lt;="&amp;S$2)/2+SUMIFS('Alle ruter'!$AC$3:$AC$98,'Alle ruter'!$Z$3:$Z$98,"H2",'Alle ruter'!$J$3:$J$98,$A70,'Alle ruter'!$AJ$3:$AJ$98,"&lt;="&amp;S$2)/2</f>
        <v>0</v>
      </c>
      <c r="T70" s="3"/>
    </row>
    <row r="71" spans="1:20" x14ac:dyDescent="0.3">
      <c r="A71" t="s">
        <v>177</v>
      </c>
      <c r="B71" t="s">
        <v>11</v>
      </c>
      <c r="C71" s="3">
        <f>COUNTIF('Alle ruter'!$I$3:$I$98,'H2 pr endeplass'!A71)+COUNTIFS('Alle ruter'!$J$3:$J$98,'H2 pr endeplass'!A71,'Alle ruter'!$K$3:$K$98,"Nei")</f>
        <v>1</v>
      </c>
      <c r="D71" s="3">
        <f>COUNTIFS('Alle ruter'!$I$3:$I$98,'H2 pr endeplass'!A71,'Alle ruter'!$Z$3:$Z$98,"H2")+COUNTIFS('Alle ruter'!$J$3:$J$98,'H2 pr endeplass'!A71,'Alle ruter'!$K$3:$K$98,"Nei",'Alle ruter'!$Z$3:$Z$98,"H2")</f>
        <v>0</v>
      </c>
      <c r="E71">
        <v>0</v>
      </c>
      <c r="F71" s="3">
        <f>SUMIFS('Alle ruter'!$AC$3:$AC$98,'Alle ruter'!$Z$3:$Z$98,"H2",'Alle ruter'!$I$3:$I$98,$A71,'Alle ruter'!$AJ$3:$AJ$98,"&lt;="&amp;F$2)/2+SUMIFS('Alle ruter'!$AC$3:$AC$98,'Alle ruter'!$Z$3:$Z$98,"H2",'Alle ruter'!$J$3:$J$98,$A71,'Alle ruter'!$AJ$3:$AJ$98,"&lt;="&amp;F$2)/2</f>
        <v>0</v>
      </c>
      <c r="G71" s="3">
        <f>SUMIFS('Alle ruter'!$AC$3:$AC$98,'Alle ruter'!$Z$3:$Z$98,"H2",'Alle ruter'!$I$3:$I$98,$A71,'Alle ruter'!$AJ$3:$AJ$98,"&lt;="&amp;G$2)/2+SUMIFS('Alle ruter'!$AC$3:$AC$98,'Alle ruter'!$Z$3:$Z$98,"H2",'Alle ruter'!$J$3:$J$98,$A71,'Alle ruter'!$AJ$3:$AJ$98,"&lt;="&amp;G$2)/2</f>
        <v>0</v>
      </c>
      <c r="H71" s="3">
        <f>SUMIFS('Alle ruter'!$AC$3:$AC$98,'Alle ruter'!$Z$3:$Z$98,"H2",'Alle ruter'!$I$3:$I$98,$A71,'Alle ruter'!$AJ$3:$AJ$98,"&lt;="&amp;H$2)/2+SUMIFS('Alle ruter'!$AC$3:$AC$98,'Alle ruter'!$Z$3:$Z$98,"H2",'Alle ruter'!$J$3:$J$98,$A71,'Alle ruter'!$AJ$3:$AJ$98,"&lt;="&amp;H$2)/2</f>
        <v>0</v>
      </c>
      <c r="I71" s="3">
        <f>SUMIFS('Alle ruter'!$AC$3:$AC$98,'Alle ruter'!$Z$3:$Z$98,"H2",'Alle ruter'!$I$3:$I$98,$A71,'Alle ruter'!$AJ$3:$AJ$98,"&lt;="&amp;I$2)/2+SUMIFS('Alle ruter'!$AC$3:$AC$98,'Alle ruter'!$Z$3:$Z$98,"H2",'Alle ruter'!$J$3:$J$98,$A71,'Alle ruter'!$AJ$3:$AJ$98,"&lt;="&amp;I$2)/2</f>
        <v>0</v>
      </c>
      <c r="J71" s="3">
        <f>SUMIFS('Alle ruter'!$AC$3:$AC$98,'Alle ruter'!$Z$3:$Z$98,"H2",'Alle ruter'!$I$3:$I$98,$A71,'Alle ruter'!$AJ$3:$AJ$98,"&lt;="&amp;J$2)/2+SUMIFS('Alle ruter'!$AC$3:$AC$98,'Alle ruter'!$Z$3:$Z$98,"H2",'Alle ruter'!$J$3:$J$98,$A71,'Alle ruter'!$AJ$3:$AJ$98,"&lt;="&amp;J$2)/2</f>
        <v>0</v>
      </c>
      <c r="K71" s="3">
        <f>SUMIFS('Alle ruter'!$AC$3:$AC$98,'Alle ruter'!$Z$3:$Z$98,"H2",'Alle ruter'!$I$3:$I$98,$A71,'Alle ruter'!$AJ$3:$AJ$98,"&lt;="&amp;K$2)/2+SUMIFS('Alle ruter'!$AC$3:$AC$98,'Alle ruter'!$Z$3:$Z$98,"H2",'Alle ruter'!$J$3:$J$98,$A71,'Alle ruter'!$AJ$3:$AJ$98,"&lt;="&amp;K$2)/2</f>
        <v>0</v>
      </c>
      <c r="L71" s="3">
        <f>SUMIFS('Alle ruter'!$AC$3:$AC$98,'Alle ruter'!$Z$3:$Z$98,"H2",'Alle ruter'!$I$3:$I$98,$A71,'Alle ruter'!$AJ$3:$AJ$98,"&lt;="&amp;L$2)/2+SUMIFS('Alle ruter'!$AC$3:$AC$98,'Alle ruter'!$Z$3:$Z$98,"H2",'Alle ruter'!$J$3:$J$98,$A71,'Alle ruter'!$AJ$3:$AJ$98,"&lt;="&amp;L$2)/2</f>
        <v>0</v>
      </c>
      <c r="M71" s="3">
        <f>SUMIFS('Alle ruter'!$AC$3:$AC$98,'Alle ruter'!$Z$3:$Z$98,"H2",'Alle ruter'!$I$3:$I$98,$A71,'Alle ruter'!$AJ$3:$AJ$98,"&lt;="&amp;M$2)/2+SUMIFS('Alle ruter'!$AC$3:$AC$98,'Alle ruter'!$Z$3:$Z$98,"H2",'Alle ruter'!$J$3:$J$98,$A71,'Alle ruter'!$AJ$3:$AJ$98,"&lt;="&amp;M$2)/2</f>
        <v>0</v>
      </c>
      <c r="N71" s="3">
        <f>SUMIFS('Alle ruter'!$AC$3:$AC$98,'Alle ruter'!$Z$3:$Z$98,"H2",'Alle ruter'!$I$3:$I$98,$A71,'Alle ruter'!$AJ$3:$AJ$98,"&lt;="&amp;N$2)/2+SUMIFS('Alle ruter'!$AC$3:$AC$98,'Alle ruter'!$Z$3:$Z$98,"H2",'Alle ruter'!$J$3:$J$98,$A71,'Alle ruter'!$AJ$3:$AJ$98,"&lt;="&amp;N$2)/2</f>
        <v>0</v>
      </c>
      <c r="O71" s="3">
        <f>SUMIFS('Alle ruter'!$AC$3:$AC$98,'Alle ruter'!$Z$3:$Z$98,"H2",'Alle ruter'!$I$3:$I$98,$A71,'Alle ruter'!$AJ$3:$AJ$98,"&lt;="&amp;O$2)/2+SUMIFS('Alle ruter'!$AC$3:$AC$98,'Alle ruter'!$Z$3:$Z$98,"H2",'Alle ruter'!$J$3:$J$98,$A71,'Alle ruter'!$AJ$3:$AJ$98,"&lt;="&amp;O$2)/2</f>
        <v>0</v>
      </c>
      <c r="P71" s="3">
        <f>SUMIFS('Alle ruter'!$AC$3:$AC$98,'Alle ruter'!$Z$3:$Z$98,"H2",'Alle ruter'!$I$3:$I$98,$A71,'Alle ruter'!$AJ$3:$AJ$98,"&lt;="&amp;P$2)/2+SUMIFS('Alle ruter'!$AC$3:$AC$98,'Alle ruter'!$Z$3:$Z$98,"H2",'Alle ruter'!$J$3:$J$98,$A71,'Alle ruter'!$AJ$3:$AJ$98,"&lt;="&amp;P$2)/2</f>
        <v>0</v>
      </c>
      <c r="Q71" s="3">
        <f>SUMIFS('Alle ruter'!$AC$3:$AC$98,'Alle ruter'!$Z$3:$Z$98,"H2",'Alle ruter'!$I$3:$I$98,$A71,'Alle ruter'!$AJ$3:$AJ$98,"&lt;="&amp;Q$2)/2+SUMIFS('Alle ruter'!$AC$3:$AC$98,'Alle ruter'!$Z$3:$Z$98,"H2",'Alle ruter'!$J$3:$J$98,$A71,'Alle ruter'!$AJ$3:$AJ$98,"&lt;="&amp;Q$2)/2</f>
        <v>0</v>
      </c>
      <c r="R71" s="3">
        <f>SUMIFS('Alle ruter'!$AC$3:$AC$98,'Alle ruter'!$Z$3:$Z$98,"H2",'Alle ruter'!$I$3:$I$98,$A71,'Alle ruter'!$AJ$3:$AJ$98,"&lt;="&amp;R$2)/2+SUMIFS('Alle ruter'!$AC$3:$AC$98,'Alle ruter'!$Z$3:$Z$98,"H2",'Alle ruter'!$J$3:$J$98,$A71,'Alle ruter'!$AJ$3:$AJ$98,"&lt;="&amp;R$2)/2</f>
        <v>0</v>
      </c>
      <c r="S71" s="3">
        <f>SUMIFS('Alle ruter'!$AC$3:$AC$98,'Alle ruter'!$Z$3:$Z$98,"H2",'Alle ruter'!$I$3:$I$98,$A71,'Alle ruter'!$AJ$3:$AJ$98,"&lt;="&amp;S$2)/2+SUMIFS('Alle ruter'!$AC$3:$AC$98,'Alle ruter'!$Z$3:$Z$98,"H2",'Alle ruter'!$J$3:$J$98,$A71,'Alle ruter'!$AJ$3:$AJ$98,"&lt;="&amp;S$2)/2</f>
        <v>0</v>
      </c>
      <c r="T71" s="3"/>
    </row>
    <row r="72" spans="1:20" x14ac:dyDescent="0.3">
      <c r="A72" t="s">
        <v>173</v>
      </c>
      <c r="B72" t="s">
        <v>15</v>
      </c>
      <c r="C72" s="3">
        <f>COUNTIF('Alle ruter'!$I$3:$I$98,'H2 pr endeplass'!A72)+COUNTIFS('Alle ruter'!$J$3:$J$98,'H2 pr endeplass'!A72,'Alle ruter'!$K$3:$K$98,"Nei")</f>
        <v>1</v>
      </c>
      <c r="D72" s="3">
        <f>COUNTIFS('Alle ruter'!$I$3:$I$98,'H2 pr endeplass'!A72,'Alle ruter'!$Z$3:$Z$98,"H2")+COUNTIFS('Alle ruter'!$J$3:$J$98,'H2 pr endeplass'!A72,'Alle ruter'!$K$3:$K$98,"Nei",'Alle ruter'!$Z$3:$Z$98,"H2")</f>
        <v>0</v>
      </c>
      <c r="E72">
        <v>0</v>
      </c>
      <c r="F72" s="3">
        <f>SUMIFS('Alle ruter'!$AC$3:$AC$98,'Alle ruter'!$Z$3:$Z$98,"H2",'Alle ruter'!$I$3:$I$98,$A72,'Alle ruter'!$AJ$3:$AJ$98,"&lt;="&amp;F$2)/2+SUMIFS('Alle ruter'!$AC$3:$AC$98,'Alle ruter'!$Z$3:$Z$98,"H2",'Alle ruter'!$J$3:$J$98,$A72,'Alle ruter'!$AJ$3:$AJ$98,"&lt;="&amp;F$2)/2</f>
        <v>0</v>
      </c>
      <c r="G72" s="3">
        <f>SUMIFS('Alle ruter'!$AC$3:$AC$98,'Alle ruter'!$Z$3:$Z$98,"H2",'Alle ruter'!$I$3:$I$98,$A72,'Alle ruter'!$AJ$3:$AJ$98,"&lt;="&amp;G$2)/2+SUMIFS('Alle ruter'!$AC$3:$AC$98,'Alle ruter'!$Z$3:$Z$98,"H2",'Alle ruter'!$J$3:$J$98,$A72,'Alle ruter'!$AJ$3:$AJ$98,"&lt;="&amp;G$2)/2</f>
        <v>0</v>
      </c>
      <c r="H72" s="3">
        <f>SUMIFS('Alle ruter'!$AC$3:$AC$98,'Alle ruter'!$Z$3:$Z$98,"H2",'Alle ruter'!$I$3:$I$98,$A72,'Alle ruter'!$AJ$3:$AJ$98,"&lt;="&amp;H$2)/2+SUMIFS('Alle ruter'!$AC$3:$AC$98,'Alle ruter'!$Z$3:$Z$98,"H2",'Alle ruter'!$J$3:$J$98,$A72,'Alle ruter'!$AJ$3:$AJ$98,"&lt;="&amp;H$2)/2</f>
        <v>0</v>
      </c>
      <c r="I72" s="3">
        <f>SUMIFS('Alle ruter'!$AC$3:$AC$98,'Alle ruter'!$Z$3:$Z$98,"H2",'Alle ruter'!$I$3:$I$98,$A72,'Alle ruter'!$AJ$3:$AJ$98,"&lt;="&amp;I$2)/2+SUMIFS('Alle ruter'!$AC$3:$AC$98,'Alle ruter'!$Z$3:$Z$98,"H2",'Alle ruter'!$J$3:$J$98,$A72,'Alle ruter'!$AJ$3:$AJ$98,"&lt;="&amp;I$2)/2</f>
        <v>0</v>
      </c>
      <c r="J72" s="3">
        <f>SUMIFS('Alle ruter'!$AC$3:$AC$98,'Alle ruter'!$Z$3:$Z$98,"H2",'Alle ruter'!$I$3:$I$98,$A72,'Alle ruter'!$AJ$3:$AJ$98,"&lt;="&amp;J$2)/2+SUMIFS('Alle ruter'!$AC$3:$AC$98,'Alle ruter'!$Z$3:$Z$98,"H2",'Alle ruter'!$J$3:$J$98,$A72,'Alle ruter'!$AJ$3:$AJ$98,"&lt;="&amp;J$2)/2</f>
        <v>0</v>
      </c>
      <c r="K72" s="3">
        <f>SUMIFS('Alle ruter'!$AC$3:$AC$98,'Alle ruter'!$Z$3:$Z$98,"H2",'Alle ruter'!$I$3:$I$98,$A72,'Alle ruter'!$AJ$3:$AJ$98,"&lt;="&amp;K$2)/2+SUMIFS('Alle ruter'!$AC$3:$AC$98,'Alle ruter'!$Z$3:$Z$98,"H2",'Alle ruter'!$J$3:$J$98,$A72,'Alle ruter'!$AJ$3:$AJ$98,"&lt;="&amp;K$2)/2</f>
        <v>0</v>
      </c>
      <c r="L72" s="3">
        <f>SUMIFS('Alle ruter'!$AC$3:$AC$98,'Alle ruter'!$Z$3:$Z$98,"H2",'Alle ruter'!$I$3:$I$98,$A72,'Alle ruter'!$AJ$3:$AJ$98,"&lt;="&amp;L$2)/2+SUMIFS('Alle ruter'!$AC$3:$AC$98,'Alle ruter'!$Z$3:$Z$98,"H2",'Alle ruter'!$J$3:$J$98,$A72,'Alle ruter'!$AJ$3:$AJ$98,"&lt;="&amp;L$2)/2</f>
        <v>0</v>
      </c>
      <c r="M72" s="3">
        <f>SUMIFS('Alle ruter'!$AC$3:$AC$98,'Alle ruter'!$Z$3:$Z$98,"H2",'Alle ruter'!$I$3:$I$98,$A72,'Alle ruter'!$AJ$3:$AJ$98,"&lt;="&amp;M$2)/2+SUMIFS('Alle ruter'!$AC$3:$AC$98,'Alle ruter'!$Z$3:$Z$98,"H2",'Alle ruter'!$J$3:$J$98,$A72,'Alle ruter'!$AJ$3:$AJ$98,"&lt;="&amp;M$2)/2</f>
        <v>0</v>
      </c>
      <c r="N72" s="3">
        <f>SUMIFS('Alle ruter'!$AC$3:$AC$98,'Alle ruter'!$Z$3:$Z$98,"H2",'Alle ruter'!$I$3:$I$98,$A72,'Alle ruter'!$AJ$3:$AJ$98,"&lt;="&amp;N$2)/2+SUMIFS('Alle ruter'!$AC$3:$AC$98,'Alle ruter'!$Z$3:$Z$98,"H2",'Alle ruter'!$J$3:$J$98,$A72,'Alle ruter'!$AJ$3:$AJ$98,"&lt;="&amp;N$2)/2</f>
        <v>0</v>
      </c>
      <c r="O72" s="3">
        <f>SUMIFS('Alle ruter'!$AC$3:$AC$98,'Alle ruter'!$Z$3:$Z$98,"H2",'Alle ruter'!$I$3:$I$98,$A72,'Alle ruter'!$AJ$3:$AJ$98,"&lt;="&amp;O$2)/2+SUMIFS('Alle ruter'!$AC$3:$AC$98,'Alle ruter'!$Z$3:$Z$98,"H2",'Alle ruter'!$J$3:$J$98,$A72,'Alle ruter'!$AJ$3:$AJ$98,"&lt;="&amp;O$2)/2</f>
        <v>0</v>
      </c>
      <c r="P72" s="3">
        <f>SUMIFS('Alle ruter'!$AC$3:$AC$98,'Alle ruter'!$Z$3:$Z$98,"H2",'Alle ruter'!$I$3:$I$98,$A72,'Alle ruter'!$AJ$3:$AJ$98,"&lt;="&amp;P$2)/2+SUMIFS('Alle ruter'!$AC$3:$AC$98,'Alle ruter'!$Z$3:$Z$98,"H2",'Alle ruter'!$J$3:$J$98,$A72,'Alle ruter'!$AJ$3:$AJ$98,"&lt;="&amp;P$2)/2</f>
        <v>0</v>
      </c>
      <c r="Q72" s="3">
        <f>SUMIFS('Alle ruter'!$AC$3:$AC$98,'Alle ruter'!$Z$3:$Z$98,"H2",'Alle ruter'!$I$3:$I$98,$A72,'Alle ruter'!$AJ$3:$AJ$98,"&lt;="&amp;Q$2)/2+SUMIFS('Alle ruter'!$AC$3:$AC$98,'Alle ruter'!$Z$3:$Z$98,"H2",'Alle ruter'!$J$3:$J$98,$A72,'Alle ruter'!$AJ$3:$AJ$98,"&lt;="&amp;Q$2)/2</f>
        <v>0</v>
      </c>
      <c r="R72" s="3">
        <f>SUMIFS('Alle ruter'!$AC$3:$AC$98,'Alle ruter'!$Z$3:$Z$98,"H2",'Alle ruter'!$I$3:$I$98,$A72,'Alle ruter'!$AJ$3:$AJ$98,"&lt;="&amp;R$2)/2+SUMIFS('Alle ruter'!$AC$3:$AC$98,'Alle ruter'!$Z$3:$Z$98,"H2",'Alle ruter'!$J$3:$J$98,$A72,'Alle ruter'!$AJ$3:$AJ$98,"&lt;="&amp;R$2)/2</f>
        <v>0</v>
      </c>
      <c r="S72" s="3">
        <f>SUMIFS('Alle ruter'!$AC$3:$AC$98,'Alle ruter'!$Z$3:$Z$98,"H2",'Alle ruter'!$I$3:$I$98,$A72,'Alle ruter'!$AJ$3:$AJ$98,"&lt;="&amp;S$2)/2+SUMIFS('Alle ruter'!$AC$3:$AC$98,'Alle ruter'!$Z$3:$Z$98,"H2",'Alle ruter'!$J$3:$J$98,$A72,'Alle ruter'!$AJ$3:$AJ$98,"&lt;="&amp;S$2)/2</f>
        <v>0</v>
      </c>
      <c r="T72" s="3"/>
    </row>
    <row r="73" spans="1:20" x14ac:dyDescent="0.3">
      <c r="A73" t="s">
        <v>175</v>
      </c>
      <c r="B73" t="s">
        <v>15</v>
      </c>
      <c r="C73" s="3">
        <f>COUNTIF('Alle ruter'!$I$3:$I$98,'H2 pr endeplass'!A73)+COUNTIFS('Alle ruter'!$J$3:$J$98,'H2 pr endeplass'!A73,'Alle ruter'!$K$3:$K$98,"Nei")</f>
        <v>1</v>
      </c>
      <c r="D73" s="3">
        <f>COUNTIFS('Alle ruter'!$I$3:$I$98,'H2 pr endeplass'!A73,'Alle ruter'!$Z$3:$Z$98,"H2")+COUNTIFS('Alle ruter'!$J$3:$J$98,'H2 pr endeplass'!A73,'Alle ruter'!$K$3:$K$98,"Nei",'Alle ruter'!$Z$3:$Z$98,"H2")</f>
        <v>0</v>
      </c>
      <c r="E73">
        <v>0</v>
      </c>
      <c r="F73" s="3">
        <f>SUMIFS('Alle ruter'!$AC$3:$AC$98,'Alle ruter'!$Z$3:$Z$98,"H2",'Alle ruter'!$I$3:$I$98,$A73,'Alle ruter'!$AJ$3:$AJ$98,"&lt;="&amp;F$2)/2+SUMIFS('Alle ruter'!$AC$3:$AC$98,'Alle ruter'!$Z$3:$Z$98,"H2",'Alle ruter'!$J$3:$J$98,$A73,'Alle ruter'!$AJ$3:$AJ$98,"&lt;="&amp;F$2)/2</f>
        <v>0</v>
      </c>
      <c r="G73" s="3">
        <f>SUMIFS('Alle ruter'!$AC$3:$AC$98,'Alle ruter'!$Z$3:$Z$98,"H2",'Alle ruter'!$I$3:$I$98,$A73,'Alle ruter'!$AJ$3:$AJ$98,"&lt;="&amp;G$2)/2+SUMIFS('Alle ruter'!$AC$3:$AC$98,'Alle ruter'!$Z$3:$Z$98,"H2",'Alle ruter'!$J$3:$J$98,$A73,'Alle ruter'!$AJ$3:$AJ$98,"&lt;="&amp;G$2)/2</f>
        <v>0</v>
      </c>
      <c r="H73" s="3">
        <f>SUMIFS('Alle ruter'!$AC$3:$AC$98,'Alle ruter'!$Z$3:$Z$98,"H2",'Alle ruter'!$I$3:$I$98,$A73,'Alle ruter'!$AJ$3:$AJ$98,"&lt;="&amp;H$2)/2+SUMIFS('Alle ruter'!$AC$3:$AC$98,'Alle ruter'!$Z$3:$Z$98,"H2",'Alle ruter'!$J$3:$J$98,$A73,'Alle ruter'!$AJ$3:$AJ$98,"&lt;="&amp;H$2)/2</f>
        <v>0</v>
      </c>
      <c r="I73" s="3">
        <f>SUMIFS('Alle ruter'!$AC$3:$AC$98,'Alle ruter'!$Z$3:$Z$98,"H2",'Alle ruter'!$I$3:$I$98,$A73,'Alle ruter'!$AJ$3:$AJ$98,"&lt;="&amp;I$2)/2+SUMIFS('Alle ruter'!$AC$3:$AC$98,'Alle ruter'!$Z$3:$Z$98,"H2",'Alle ruter'!$J$3:$J$98,$A73,'Alle ruter'!$AJ$3:$AJ$98,"&lt;="&amp;I$2)/2</f>
        <v>0</v>
      </c>
      <c r="J73" s="3">
        <f>SUMIFS('Alle ruter'!$AC$3:$AC$98,'Alle ruter'!$Z$3:$Z$98,"H2",'Alle ruter'!$I$3:$I$98,$A73,'Alle ruter'!$AJ$3:$AJ$98,"&lt;="&amp;J$2)/2+SUMIFS('Alle ruter'!$AC$3:$AC$98,'Alle ruter'!$Z$3:$Z$98,"H2",'Alle ruter'!$J$3:$J$98,$A73,'Alle ruter'!$AJ$3:$AJ$98,"&lt;="&amp;J$2)/2</f>
        <v>0</v>
      </c>
      <c r="K73" s="3">
        <f>SUMIFS('Alle ruter'!$AC$3:$AC$98,'Alle ruter'!$Z$3:$Z$98,"H2",'Alle ruter'!$I$3:$I$98,$A73,'Alle ruter'!$AJ$3:$AJ$98,"&lt;="&amp;K$2)/2+SUMIFS('Alle ruter'!$AC$3:$AC$98,'Alle ruter'!$Z$3:$Z$98,"H2",'Alle ruter'!$J$3:$J$98,$A73,'Alle ruter'!$AJ$3:$AJ$98,"&lt;="&amp;K$2)/2</f>
        <v>0</v>
      </c>
      <c r="L73" s="3">
        <f>SUMIFS('Alle ruter'!$AC$3:$AC$98,'Alle ruter'!$Z$3:$Z$98,"H2",'Alle ruter'!$I$3:$I$98,$A73,'Alle ruter'!$AJ$3:$AJ$98,"&lt;="&amp;L$2)/2+SUMIFS('Alle ruter'!$AC$3:$AC$98,'Alle ruter'!$Z$3:$Z$98,"H2",'Alle ruter'!$J$3:$J$98,$A73,'Alle ruter'!$AJ$3:$AJ$98,"&lt;="&amp;L$2)/2</f>
        <v>0</v>
      </c>
      <c r="M73" s="3">
        <f>SUMIFS('Alle ruter'!$AC$3:$AC$98,'Alle ruter'!$Z$3:$Z$98,"H2",'Alle ruter'!$I$3:$I$98,$A73,'Alle ruter'!$AJ$3:$AJ$98,"&lt;="&amp;M$2)/2+SUMIFS('Alle ruter'!$AC$3:$AC$98,'Alle ruter'!$Z$3:$Z$98,"H2",'Alle ruter'!$J$3:$J$98,$A73,'Alle ruter'!$AJ$3:$AJ$98,"&lt;="&amp;M$2)/2</f>
        <v>0</v>
      </c>
      <c r="N73" s="3">
        <f>SUMIFS('Alle ruter'!$AC$3:$AC$98,'Alle ruter'!$Z$3:$Z$98,"H2",'Alle ruter'!$I$3:$I$98,$A73,'Alle ruter'!$AJ$3:$AJ$98,"&lt;="&amp;N$2)/2+SUMIFS('Alle ruter'!$AC$3:$AC$98,'Alle ruter'!$Z$3:$Z$98,"H2",'Alle ruter'!$J$3:$J$98,$A73,'Alle ruter'!$AJ$3:$AJ$98,"&lt;="&amp;N$2)/2</f>
        <v>0</v>
      </c>
      <c r="O73" s="3">
        <f>SUMIFS('Alle ruter'!$AC$3:$AC$98,'Alle ruter'!$Z$3:$Z$98,"H2",'Alle ruter'!$I$3:$I$98,$A73,'Alle ruter'!$AJ$3:$AJ$98,"&lt;="&amp;O$2)/2+SUMIFS('Alle ruter'!$AC$3:$AC$98,'Alle ruter'!$Z$3:$Z$98,"H2",'Alle ruter'!$J$3:$J$98,$A73,'Alle ruter'!$AJ$3:$AJ$98,"&lt;="&amp;O$2)/2</f>
        <v>0</v>
      </c>
      <c r="P73" s="3">
        <f>SUMIFS('Alle ruter'!$AC$3:$AC$98,'Alle ruter'!$Z$3:$Z$98,"H2",'Alle ruter'!$I$3:$I$98,$A73,'Alle ruter'!$AJ$3:$AJ$98,"&lt;="&amp;P$2)/2+SUMIFS('Alle ruter'!$AC$3:$AC$98,'Alle ruter'!$Z$3:$Z$98,"H2",'Alle ruter'!$J$3:$J$98,$A73,'Alle ruter'!$AJ$3:$AJ$98,"&lt;="&amp;P$2)/2</f>
        <v>0</v>
      </c>
      <c r="Q73" s="3">
        <f>SUMIFS('Alle ruter'!$AC$3:$AC$98,'Alle ruter'!$Z$3:$Z$98,"H2",'Alle ruter'!$I$3:$I$98,$A73,'Alle ruter'!$AJ$3:$AJ$98,"&lt;="&amp;Q$2)/2+SUMIFS('Alle ruter'!$AC$3:$AC$98,'Alle ruter'!$Z$3:$Z$98,"H2",'Alle ruter'!$J$3:$J$98,$A73,'Alle ruter'!$AJ$3:$AJ$98,"&lt;="&amp;Q$2)/2</f>
        <v>0</v>
      </c>
      <c r="R73" s="3">
        <f>SUMIFS('Alle ruter'!$AC$3:$AC$98,'Alle ruter'!$Z$3:$Z$98,"H2",'Alle ruter'!$I$3:$I$98,$A73,'Alle ruter'!$AJ$3:$AJ$98,"&lt;="&amp;R$2)/2+SUMIFS('Alle ruter'!$AC$3:$AC$98,'Alle ruter'!$Z$3:$Z$98,"H2",'Alle ruter'!$J$3:$J$98,$A73,'Alle ruter'!$AJ$3:$AJ$98,"&lt;="&amp;R$2)/2</f>
        <v>0</v>
      </c>
      <c r="S73" s="3">
        <f>SUMIFS('Alle ruter'!$AC$3:$AC$98,'Alle ruter'!$Z$3:$Z$98,"H2",'Alle ruter'!$I$3:$I$98,$A73,'Alle ruter'!$AJ$3:$AJ$98,"&lt;="&amp;S$2)/2+SUMIFS('Alle ruter'!$AC$3:$AC$98,'Alle ruter'!$Z$3:$Z$98,"H2",'Alle ruter'!$J$3:$J$98,$A73,'Alle ruter'!$AJ$3:$AJ$98,"&lt;="&amp;S$2)/2</f>
        <v>0</v>
      </c>
      <c r="T73" s="3"/>
    </row>
    <row r="74" spans="1:20" x14ac:dyDescent="0.3">
      <c r="A74" t="s">
        <v>153</v>
      </c>
      <c r="B74" t="s">
        <v>388</v>
      </c>
      <c r="C74" s="3">
        <f>COUNTIF('Alle ruter'!$I$3:$I$98,'H2 pr endeplass'!A74)+COUNTIFS('Alle ruter'!$J$3:$J$98,'H2 pr endeplass'!A74,'Alle ruter'!$K$3:$K$98,"Nei")</f>
        <v>1</v>
      </c>
      <c r="D74" s="3">
        <f>COUNTIFS('Alle ruter'!$I$3:$I$98,'H2 pr endeplass'!A74,'Alle ruter'!$Z$3:$Z$98,"H2")+COUNTIFS('Alle ruter'!$J$3:$J$98,'H2 pr endeplass'!A74,'Alle ruter'!$K$3:$K$98,"Nei",'Alle ruter'!$Z$3:$Z$98,"H2")</f>
        <v>0</v>
      </c>
      <c r="E74">
        <v>0</v>
      </c>
      <c r="F74" s="3">
        <f>SUMIFS('Alle ruter'!$AC$3:$AC$98,'Alle ruter'!$Z$3:$Z$98,"H2",'Alle ruter'!$I$3:$I$98,$A74,'Alle ruter'!$AJ$3:$AJ$98,"&lt;="&amp;F$2)/2+SUMIFS('Alle ruter'!$AC$3:$AC$98,'Alle ruter'!$Z$3:$Z$98,"H2",'Alle ruter'!$J$3:$J$98,$A74,'Alle ruter'!$AJ$3:$AJ$98,"&lt;="&amp;F$2)/2</f>
        <v>0</v>
      </c>
      <c r="G74" s="3">
        <f>SUMIFS('Alle ruter'!$AC$3:$AC$98,'Alle ruter'!$Z$3:$Z$98,"H2",'Alle ruter'!$I$3:$I$98,$A74,'Alle ruter'!$AJ$3:$AJ$98,"&lt;="&amp;G$2)/2+SUMIFS('Alle ruter'!$AC$3:$AC$98,'Alle ruter'!$Z$3:$Z$98,"H2",'Alle ruter'!$J$3:$J$98,$A74,'Alle ruter'!$AJ$3:$AJ$98,"&lt;="&amp;G$2)/2</f>
        <v>0</v>
      </c>
      <c r="H74" s="3">
        <f>SUMIFS('Alle ruter'!$AC$3:$AC$98,'Alle ruter'!$Z$3:$Z$98,"H2",'Alle ruter'!$I$3:$I$98,$A74,'Alle ruter'!$AJ$3:$AJ$98,"&lt;="&amp;H$2)/2+SUMIFS('Alle ruter'!$AC$3:$AC$98,'Alle ruter'!$Z$3:$Z$98,"H2",'Alle ruter'!$J$3:$J$98,$A74,'Alle ruter'!$AJ$3:$AJ$98,"&lt;="&amp;H$2)/2</f>
        <v>0</v>
      </c>
      <c r="I74" s="3">
        <f>SUMIFS('Alle ruter'!$AC$3:$AC$98,'Alle ruter'!$Z$3:$Z$98,"H2",'Alle ruter'!$I$3:$I$98,$A74,'Alle ruter'!$AJ$3:$AJ$98,"&lt;="&amp;I$2)/2+SUMIFS('Alle ruter'!$AC$3:$AC$98,'Alle ruter'!$Z$3:$Z$98,"H2",'Alle ruter'!$J$3:$J$98,$A74,'Alle ruter'!$AJ$3:$AJ$98,"&lt;="&amp;I$2)/2</f>
        <v>0</v>
      </c>
      <c r="J74" s="3">
        <f>SUMIFS('Alle ruter'!$AC$3:$AC$98,'Alle ruter'!$Z$3:$Z$98,"H2",'Alle ruter'!$I$3:$I$98,$A74,'Alle ruter'!$AJ$3:$AJ$98,"&lt;="&amp;J$2)/2+SUMIFS('Alle ruter'!$AC$3:$AC$98,'Alle ruter'!$Z$3:$Z$98,"H2",'Alle ruter'!$J$3:$J$98,$A74,'Alle ruter'!$AJ$3:$AJ$98,"&lt;="&amp;J$2)/2</f>
        <v>0</v>
      </c>
      <c r="K74" s="3">
        <f>SUMIFS('Alle ruter'!$AC$3:$AC$98,'Alle ruter'!$Z$3:$Z$98,"H2",'Alle ruter'!$I$3:$I$98,$A74,'Alle ruter'!$AJ$3:$AJ$98,"&lt;="&amp;K$2)/2+SUMIFS('Alle ruter'!$AC$3:$AC$98,'Alle ruter'!$Z$3:$Z$98,"H2",'Alle ruter'!$J$3:$J$98,$A74,'Alle ruter'!$AJ$3:$AJ$98,"&lt;="&amp;K$2)/2</f>
        <v>0</v>
      </c>
      <c r="L74" s="3">
        <f>SUMIFS('Alle ruter'!$AC$3:$AC$98,'Alle ruter'!$Z$3:$Z$98,"H2",'Alle ruter'!$I$3:$I$98,$A74,'Alle ruter'!$AJ$3:$AJ$98,"&lt;="&amp;L$2)/2+SUMIFS('Alle ruter'!$AC$3:$AC$98,'Alle ruter'!$Z$3:$Z$98,"H2",'Alle ruter'!$J$3:$J$98,$A74,'Alle ruter'!$AJ$3:$AJ$98,"&lt;="&amp;L$2)/2</f>
        <v>0</v>
      </c>
      <c r="M74" s="3">
        <f>SUMIFS('Alle ruter'!$AC$3:$AC$98,'Alle ruter'!$Z$3:$Z$98,"H2",'Alle ruter'!$I$3:$I$98,$A74,'Alle ruter'!$AJ$3:$AJ$98,"&lt;="&amp;M$2)/2+SUMIFS('Alle ruter'!$AC$3:$AC$98,'Alle ruter'!$Z$3:$Z$98,"H2",'Alle ruter'!$J$3:$J$98,$A74,'Alle ruter'!$AJ$3:$AJ$98,"&lt;="&amp;M$2)/2</f>
        <v>0</v>
      </c>
      <c r="N74" s="3">
        <f>SUMIFS('Alle ruter'!$AC$3:$AC$98,'Alle ruter'!$Z$3:$Z$98,"H2",'Alle ruter'!$I$3:$I$98,$A74,'Alle ruter'!$AJ$3:$AJ$98,"&lt;="&amp;N$2)/2+SUMIFS('Alle ruter'!$AC$3:$AC$98,'Alle ruter'!$Z$3:$Z$98,"H2",'Alle ruter'!$J$3:$J$98,$A74,'Alle ruter'!$AJ$3:$AJ$98,"&lt;="&amp;N$2)/2</f>
        <v>0</v>
      </c>
      <c r="O74" s="3">
        <f>SUMIFS('Alle ruter'!$AC$3:$AC$98,'Alle ruter'!$Z$3:$Z$98,"H2",'Alle ruter'!$I$3:$I$98,$A74,'Alle ruter'!$AJ$3:$AJ$98,"&lt;="&amp;O$2)/2+SUMIFS('Alle ruter'!$AC$3:$AC$98,'Alle ruter'!$Z$3:$Z$98,"H2",'Alle ruter'!$J$3:$J$98,$A74,'Alle ruter'!$AJ$3:$AJ$98,"&lt;="&amp;O$2)/2</f>
        <v>0</v>
      </c>
      <c r="P74" s="3">
        <f>SUMIFS('Alle ruter'!$AC$3:$AC$98,'Alle ruter'!$Z$3:$Z$98,"H2",'Alle ruter'!$I$3:$I$98,$A74,'Alle ruter'!$AJ$3:$AJ$98,"&lt;="&amp;P$2)/2+SUMIFS('Alle ruter'!$AC$3:$AC$98,'Alle ruter'!$Z$3:$Z$98,"H2",'Alle ruter'!$J$3:$J$98,$A74,'Alle ruter'!$AJ$3:$AJ$98,"&lt;="&amp;P$2)/2</f>
        <v>0</v>
      </c>
      <c r="Q74" s="3">
        <f>SUMIFS('Alle ruter'!$AC$3:$AC$98,'Alle ruter'!$Z$3:$Z$98,"H2",'Alle ruter'!$I$3:$I$98,$A74,'Alle ruter'!$AJ$3:$AJ$98,"&lt;="&amp;Q$2)/2+SUMIFS('Alle ruter'!$AC$3:$AC$98,'Alle ruter'!$Z$3:$Z$98,"H2",'Alle ruter'!$J$3:$J$98,$A74,'Alle ruter'!$AJ$3:$AJ$98,"&lt;="&amp;Q$2)/2</f>
        <v>0</v>
      </c>
      <c r="R74" s="3">
        <f>SUMIFS('Alle ruter'!$AC$3:$AC$98,'Alle ruter'!$Z$3:$Z$98,"H2",'Alle ruter'!$I$3:$I$98,$A74,'Alle ruter'!$AJ$3:$AJ$98,"&lt;="&amp;R$2)/2+SUMIFS('Alle ruter'!$AC$3:$AC$98,'Alle ruter'!$Z$3:$Z$98,"H2",'Alle ruter'!$J$3:$J$98,$A74,'Alle ruter'!$AJ$3:$AJ$98,"&lt;="&amp;R$2)/2</f>
        <v>0</v>
      </c>
      <c r="S74" s="3">
        <f>SUMIFS('Alle ruter'!$AC$3:$AC$98,'Alle ruter'!$Z$3:$Z$98,"H2",'Alle ruter'!$I$3:$I$98,$A74,'Alle ruter'!$AJ$3:$AJ$98,"&lt;="&amp;S$2)/2+SUMIFS('Alle ruter'!$AC$3:$AC$98,'Alle ruter'!$Z$3:$Z$98,"H2",'Alle ruter'!$J$3:$J$98,$A74,'Alle ruter'!$AJ$3:$AJ$98,"&lt;="&amp;S$2)/2</f>
        <v>0</v>
      </c>
      <c r="T74" s="3"/>
    </row>
    <row r="75" spans="1:20" x14ac:dyDescent="0.3">
      <c r="A75" t="s">
        <v>146</v>
      </c>
      <c r="B75" t="s">
        <v>15</v>
      </c>
      <c r="C75" s="3">
        <f>COUNTIF('Alle ruter'!$I$3:$I$98,'H2 pr endeplass'!A75)+COUNTIFS('Alle ruter'!$J$3:$J$98,'H2 pr endeplass'!A75,'Alle ruter'!$K$3:$K$98,"Nei")</f>
        <v>1</v>
      </c>
      <c r="D75" s="3">
        <f>COUNTIFS('Alle ruter'!$I$3:$I$98,'H2 pr endeplass'!A75,'Alle ruter'!$Z$3:$Z$98,"H2")+COUNTIFS('Alle ruter'!$J$3:$J$98,'H2 pr endeplass'!A75,'Alle ruter'!$K$3:$K$98,"Nei",'Alle ruter'!$Z$3:$Z$98,"H2")</f>
        <v>0</v>
      </c>
      <c r="E75">
        <v>0</v>
      </c>
      <c r="F75" s="3">
        <f>SUMIFS('Alle ruter'!$AC$3:$AC$98,'Alle ruter'!$Z$3:$Z$98,"H2",'Alle ruter'!$I$3:$I$98,$A75,'Alle ruter'!$AJ$3:$AJ$98,"&lt;="&amp;F$2)/2+SUMIFS('Alle ruter'!$AC$3:$AC$98,'Alle ruter'!$Z$3:$Z$98,"H2",'Alle ruter'!$J$3:$J$98,$A75,'Alle ruter'!$AJ$3:$AJ$98,"&lt;="&amp;F$2)/2</f>
        <v>0</v>
      </c>
      <c r="G75" s="3">
        <f>SUMIFS('Alle ruter'!$AC$3:$AC$98,'Alle ruter'!$Z$3:$Z$98,"H2",'Alle ruter'!$I$3:$I$98,$A75,'Alle ruter'!$AJ$3:$AJ$98,"&lt;="&amp;G$2)/2+SUMIFS('Alle ruter'!$AC$3:$AC$98,'Alle ruter'!$Z$3:$Z$98,"H2",'Alle ruter'!$J$3:$J$98,$A75,'Alle ruter'!$AJ$3:$AJ$98,"&lt;="&amp;G$2)/2</f>
        <v>0</v>
      </c>
      <c r="H75" s="3">
        <f>SUMIFS('Alle ruter'!$AC$3:$AC$98,'Alle ruter'!$Z$3:$Z$98,"H2",'Alle ruter'!$I$3:$I$98,$A75,'Alle ruter'!$AJ$3:$AJ$98,"&lt;="&amp;H$2)/2+SUMIFS('Alle ruter'!$AC$3:$AC$98,'Alle ruter'!$Z$3:$Z$98,"H2",'Alle ruter'!$J$3:$J$98,$A75,'Alle ruter'!$AJ$3:$AJ$98,"&lt;="&amp;H$2)/2</f>
        <v>0</v>
      </c>
      <c r="I75" s="3">
        <f>SUMIFS('Alle ruter'!$AC$3:$AC$98,'Alle ruter'!$Z$3:$Z$98,"H2",'Alle ruter'!$I$3:$I$98,$A75,'Alle ruter'!$AJ$3:$AJ$98,"&lt;="&amp;I$2)/2+SUMIFS('Alle ruter'!$AC$3:$AC$98,'Alle ruter'!$Z$3:$Z$98,"H2",'Alle ruter'!$J$3:$J$98,$A75,'Alle ruter'!$AJ$3:$AJ$98,"&lt;="&amp;I$2)/2</f>
        <v>0</v>
      </c>
      <c r="J75" s="3">
        <f>SUMIFS('Alle ruter'!$AC$3:$AC$98,'Alle ruter'!$Z$3:$Z$98,"H2",'Alle ruter'!$I$3:$I$98,$A75,'Alle ruter'!$AJ$3:$AJ$98,"&lt;="&amp;J$2)/2+SUMIFS('Alle ruter'!$AC$3:$AC$98,'Alle ruter'!$Z$3:$Z$98,"H2",'Alle ruter'!$J$3:$J$98,$A75,'Alle ruter'!$AJ$3:$AJ$98,"&lt;="&amp;J$2)/2</f>
        <v>0</v>
      </c>
      <c r="K75" s="3">
        <f>SUMIFS('Alle ruter'!$AC$3:$AC$98,'Alle ruter'!$Z$3:$Z$98,"H2",'Alle ruter'!$I$3:$I$98,$A75,'Alle ruter'!$AJ$3:$AJ$98,"&lt;="&amp;K$2)/2+SUMIFS('Alle ruter'!$AC$3:$AC$98,'Alle ruter'!$Z$3:$Z$98,"H2",'Alle ruter'!$J$3:$J$98,$A75,'Alle ruter'!$AJ$3:$AJ$98,"&lt;="&amp;K$2)/2</f>
        <v>0</v>
      </c>
      <c r="L75" s="3">
        <f>SUMIFS('Alle ruter'!$AC$3:$AC$98,'Alle ruter'!$Z$3:$Z$98,"H2",'Alle ruter'!$I$3:$I$98,$A75,'Alle ruter'!$AJ$3:$AJ$98,"&lt;="&amp;L$2)/2+SUMIFS('Alle ruter'!$AC$3:$AC$98,'Alle ruter'!$Z$3:$Z$98,"H2",'Alle ruter'!$J$3:$J$98,$A75,'Alle ruter'!$AJ$3:$AJ$98,"&lt;="&amp;L$2)/2</f>
        <v>0</v>
      </c>
      <c r="M75" s="3">
        <f>SUMIFS('Alle ruter'!$AC$3:$AC$98,'Alle ruter'!$Z$3:$Z$98,"H2",'Alle ruter'!$I$3:$I$98,$A75,'Alle ruter'!$AJ$3:$AJ$98,"&lt;="&amp;M$2)/2+SUMIFS('Alle ruter'!$AC$3:$AC$98,'Alle ruter'!$Z$3:$Z$98,"H2",'Alle ruter'!$J$3:$J$98,$A75,'Alle ruter'!$AJ$3:$AJ$98,"&lt;="&amp;M$2)/2</f>
        <v>0</v>
      </c>
      <c r="N75" s="3">
        <f>SUMIFS('Alle ruter'!$AC$3:$AC$98,'Alle ruter'!$Z$3:$Z$98,"H2",'Alle ruter'!$I$3:$I$98,$A75,'Alle ruter'!$AJ$3:$AJ$98,"&lt;="&amp;N$2)/2+SUMIFS('Alle ruter'!$AC$3:$AC$98,'Alle ruter'!$Z$3:$Z$98,"H2",'Alle ruter'!$J$3:$J$98,$A75,'Alle ruter'!$AJ$3:$AJ$98,"&lt;="&amp;N$2)/2</f>
        <v>0</v>
      </c>
      <c r="O75" s="3">
        <f>SUMIFS('Alle ruter'!$AC$3:$AC$98,'Alle ruter'!$Z$3:$Z$98,"H2",'Alle ruter'!$I$3:$I$98,$A75,'Alle ruter'!$AJ$3:$AJ$98,"&lt;="&amp;O$2)/2+SUMIFS('Alle ruter'!$AC$3:$AC$98,'Alle ruter'!$Z$3:$Z$98,"H2",'Alle ruter'!$J$3:$J$98,$A75,'Alle ruter'!$AJ$3:$AJ$98,"&lt;="&amp;O$2)/2</f>
        <v>0</v>
      </c>
      <c r="P75" s="3">
        <f>SUMIFS('Alle ruter'!$AC$3:$AC$98,'Alle ruter'!$Z$3:$Z$98,"H2",'Alle ruter'!$I$3:$I$98,$A75,'Alle ruter'!$AJ$3:$AJ$98,"&lt;="&amp;P$2)/2+SUMIFS('Alle ruter'!$AC$3:$AC$98,'Alle ruter'!$Z$3:$Z$98,"H2",'Alle ruter'!$J$3:$J$98,$A75,'Alle ruter'!$AJ$3:$AJ$98,"&lt;="&amp;P$2)/2</f>
        <v>0</v>
      </c>
      <c r="Q75" s="3">
        <f>SUMIFS('Alle ruter'!$AC$3:$AC$98,'Alle ruter'!$Z$3:$Z$98,"H2",'Alle ruter'!$I$3:$I$98,$A75,'Alle ruter'!$AJ$3:$AJ$98,"&lt;="&amp;Q$2)/2+SUMIFS('Alle ruter'!$AC$3:$AC$98,'Alle ruter'!$Z$3:$Z$98,"H2",'Alle ruter'!$J$3:$J$98,$A75,'Alle ruter'!$AJ$3:$AJ$98,"&lt;="&amp;Q$2)/2</f>
        <v>0</v>
      </c>
      <c r="R75" s="3">
        <f>SUMIFS('Alle ruter'!$AC$3:$AC$98,'Alle ruter'!$Z$3:$Z$98,"H2",'Alle ruter'!$I$3:$I$98,$A75,'Alle ruter'!$AJ$3:$AJ$98,"&lt;="&amp;R$2)/2+SUMIFS('Alle ruter'!$AC$3:$AC$98,'Alle ruter'!$Z$3:$Z$98,"H2",'Alle ruter'!$J$3:$J$98,$A75,'Alle ruter'!$AJ$3:$AJ$98,"&lt;="&amp;R$2)/2</f>
        <v>0</v>
      </c>
      <c r="S75" s="3">
        <f>SUMIFS('Alle ruter'!$AC$3:$AC$98,'Alle ruter'!$Z$3:$Z$98,"H2",'Alle ruter'!$I$3:$I$98,$A75,'Alle ruter'!$AJ$3:$AJ$98,"&lt;="&amp;S$2)/2+SUMIFS('Alle ruter'!$AC$3:$AC$98,'Alle ruter'!$Z$3:$Z$98,"H2",'Alle ruter'!$J$3:$J$98,$A75,'Alle ruter'!$AJ$3:$AJ$98,"&lt;="&amp;S$2)/2</f>
        <v>0</v>
      </c>
      <c r="T75" s="3"/>
    </row>
    <row r="76" spans="1:20" x14ac:dyDescent="0.3">
      <c r="A76" t="s">
        <v>179</v>
      </c>
      <c r="B76" t="s">
        <v>19</v>
      </c>
      <c r="C76" s="3">
        <f>COUNTIF('Alle ruter'!$I$3:$I$98,'H2 pr endeplass'!A76)+COUNTIFS('Alle ruter'!$J$3:$J$98,'H2 pr endeplass'!A76,'Alle ruter'!$K$3:$K$98,"Nei")</f>
        <v>2</v>
      </c>
      <c r="D76" s="3">
        <f>COUNTIFS('Alle ruter'!$I$3:$I$98,'H2 pr endeplass'!A76,'Alle ruter'!$Z$3:$Z$98,"H2")+COUNTIFS('Alle ruter'!$J$3:$J$98,'H2 pr endeplass'!A76,'Alle ruter'!$K$3:$K$98,"Nei",'Alle ruter'!$Z$3:$Z$98,"H2")</f>
        <v>0</v>
      </c>
      <c r="E76">
        <v>0</v>
      </c>
      <c r="F76" s="3">
        <f>SUMIFS('Alle ruter'!$AC$3:$AC$98,'Alle ruter'!$Z$3:$Z$98,"H2",'Alle ruter'!$I$3:$I$98,$A76,'Alle ruter'!$AJ$3:$AJ$98,"&lt;="&amp;F$2)/2+SUMIFS('Alle ruter'!$AC$3:$AC$98,'Alle ruter'!$Z$3:$Z$98,"H2",'Alle ruter'!$J$3:$J$98,$A76,'Alle ruter'!$AJ$3:$AJ$98,"&lt;="&amp;F$2)/2</f>
        <v>0</v>
      </c>
      <c r="G76" s="3">
        <f>SUMIFS('Alle ruter'!$AC$3:$AC$98,'Alle ruter'!$Z$3:$Z$98,"H2",'Alle ruter'!$I$3:$I$98,$A76,'Alle ruter'!$AJ$3:$AJ$98,"&lt;="&amp;G$2)/2+SUMIFS('Alle ruter'!$AC$3:$AC$98,'Alle ruter'!$Z$3:$Z$98,"H2",'Alle ruter'!$J$3:$J$98,$A76,'Alle ruter'!$AJ$3:$AJ$98,"&lt;="&amp;G$2)/2</f>
        <v>0</v>
      </c>
      <c r="H76" s="3">
        <f>SUMIFS('Alle ruter'!$AC$3:$AC$98,'Alle ruter'!$Z$3:$Z$98,"H2",'Alle ruter'!$I$3:$I$98,$A76,'Alle ruter'!$AJ$3:$AJ$98,"&lt;="&amp;H$2)/2+SUMIFS('Alle ruter'!$AC$3:$AC$98,'Alle ruter'!$Z$3:$Z$98,"H2",'Alle ruter'!$J$3:$J$98,$A76,'Alle ruter'!$AJ$3:$AJ$98,"&lt;="&amp;H$2)/2</f>
        <v>0</v>
      </c>
      <c r="I76" s="3">
        <f>SUMIFS('Alle ruter'!$AC$3:$AC$98,'Alle ruter'!$Z$3:$Z$98,"H2",'Alle ruter'!$I$3:$I$98,$A76,'Alle ruter'!$AJ$3:$AJ$98,"&lt;="&amp;I$2)/2+SUMIFS('Alle ruter'!$AC$3:$AC$98,'Alle ruter'!$Z$3:$Z$98,"H2",'Alle ruter'!$J$3:$J$98,$A76,'Alle ruter'!$AJ$3:$AJ$98,"&lt;="&amp;I$2)/2</f>
        <v>0</v>
      </c>
      <c r="J76" s="3">
        <f>SUMIFS('Alle ruter'!$AC$3:$AC$98,'Alle ruter'!$Z$3:$Z$98,"H2",'Alle ruter'!$I$3:$I$98,$A76,'Alle ruter'!$AJ$3:$AJ$98,"&lt;="&amp;J$2)/2+SUMIFS('Alle ruter'!$AC$3:$AC$98,'Alle ruter'!$Z$3:$Z$98,"H2",'Alle ruter'!$J$3:$J$98,$A76,'Alle ruter'!$AJ$3:$AJ$98,"&lt;="&amp;J$2)/2</f>
        <v>0</v>
      </c>
      <c r="K76" s="3">
        <f>SUMIFS('Alle ruter'!$AC$3:$AC$98,'Alle ruter'!$Z$3:$Z$98,"H2",'Alle ruter'!$I$3:$I$98,$A76,'Alle ruter'!$AJ$3:$AJ$98,"&lt;="&amp;K$2)/2+SUMIFS('Alle ruter'!$AC$3:$AC$98,'Alle ruter'!$Z$3:$Z$98,"H2",'Alle ruter'!$J$3:$J$98,$A76,'Alle ruter'!$AJ$3:$AJ$98,"&lt;="&amp;K$2)/2</f>
        <v>0</v>
      </c>
      <c r="L76" s="3">
        <f>SUMIFS('Alle ruter'!$AC$3:$AC$98,'Alle ruter'!$Z$3:$Z$98,"H2",'Alle ruter'!$I$3:$I$98,$A76,'Alle ruter'!$AJ$3:$AJ$98,"&lt;="&amp;L$2)/2+SUMIFS('Alle ruter'!$AC$3:$AC$98,'Alle ruter'!$Z$3:$Z$98,"H2",'Alle ruter'!$J$3:$J$98,$A76,'Alle ruter'!$AJ$3:$AJ$98,"&lt;="&amp;L$2)/2</f>
        <v>0</v>
      </c>
      <c r="M76" s="3">
        <f>SUMIFS('Alle ruter'!$AC$3:$AC$98,'Alle ruter'!$Z$3:$Z$98,"H2",'Alle ruter'!$I$3:$I$98,$A76,'Alle ruter'!$AJ$3:$AJ$98,"&lt;="&amp;M$2)/2+SUMIFS('Alle ruter'!$AC$3:$AC$98,'Alle ruter'!$Z$3:$Z$98,"H2",'Alle ruter'!$J$3:$J$98,$A76,'Alle ruter'!$AJ$3:$AJ$98,"&lt;="&amp;M$2)/2</f>
        <v>0</v>
      </c>
      <c r="N76" s="3">
        <f>SUMIFS('Alle ruter'!$AC$3:$AC$98,'Alle ruter'!$Z$3:$Z$98,"H2",'Alle ruter'!$I$3:$I$98,$A76,'Alle ruter'!$AJ$3:$AJ$98,"&lt;="&amp;N$2)/2+SUMIFS('Alle ruter'!$AC$3:$AC$98,'Alle ruter'!$Z$3:$Z$98,"H2",'Alle ruter'!$J$3:$J$98,$A76,'Alle ruter'!$AJ$3:$AJ$98,"&lt;="&amp;N$2)/2</f>
        <v>0</v>
      </c>
      <c r="O76" s="3">
        <f>SUMIFS('Alle ruter'!$AC$3:$AC$98,'Alle ruter'!$Z$3:$Z$98,"H2",'Alle ruter'!$I$3:$I$98,$A76,'Alle ruter'!$AJ$3:$AJ$98,"&lt;="&amp;O$2)/2+SUMIFS('Alle ruter'!$AC$3:$AC$98,'Alle ruter'!$Z$3:$Z$98,"H2",'Alle ruter'!$J$3:$J$98,$A76,'Alle ruter'!$AJ$3:$AJ$98,"&lt;="&amp;O$2)/2</f>
        <v>0</v>
      </c>
      <c r="P76" s="3">
        <f>SUMIFS('Alle ruter'!$AC$3:$AC$98,'Alle ruter'!$Z$3:$Z$98,"H2",'Alle ruter'!$I$3:$I$98,$A76,'Alle ruter'!$AJ$3:$AJ$98,"&lt;="&amp;P$2)/2+SUMIFS('Alle ruter'!$AC$3:$AC$98,'Alle ruter'!$Z$3:$Z$98,"H2",'Alle ruter'!$J$3:$J$98,$A76,'Alle ruter'!$AJ$3:$AJ$98,"&lt;="&amp;P$2)/2</f>
        <v>0</v>
      </c>
      <c r="Q76" s="3">
        <f>SUMIFS('Alle ruter'!$AC$3:$AC$98,'Alle ruter'!$Z$3:$Z$98,"H2",'Alle ruter'!$I$3:$I$98,$A76,'Alle ruter'!$AJ$3:$AJ$98,"&lt;="&amp;Q$2)/2+SUMIFS('Alle ruter'!$AC$3:$AC$98,'Alle ruter'!$Z$3:$Z$98,"H2",'Alle ruter'!$J$3:$J$98,$A76,'Alle ruter'!$AJ$3:$AJ$98,"&lt;="&amp;Q$2)/2</f>
        <v>0</v>
      </c>
      <c r="R76" s="3">
        <f>SUMIFS('Alle ruter'!$AC$3:$AC$98,'Alle ruter'!$Z$3:$Z$98,"H2",'Alle ruter'!$I$3:$I$98,$A76,'Alle ruter'!$AJ$3:$AJ$98,"&lt;="&amp;R$2)/2+SUMIFS('Alle ruter'!$AC$3:$AC$98,'Alle ruter'!$Z$3:$Z$98,"H2",'Alle ruter'!$J$3:$J$98,$A76,'Alle ruter'!$AJ$3:$AJ$98,"&lt;="&amp;R$2)/2</f>
        <v>0</v>
      </c>
      <c r="S76" s="3">
        <f>SUMIFS('Alle ruter'!$AC$3:$AC$98,'Alle ruter'!$Z$3:$Z$98,"H2",'Alle ruter'!$I$3:$I$98,$A76,'Alle ruter'!$AJ$3:$AJ$98,"&lt;="&amp;S$2)/2+SUMIFS('Alle ruter'!$AC$3:$AC$98,'Alle ruter'!$Z$3:$Z$98,"H2",'Alle ruter'!$J$3:$J$98,$A76,'Alle ruter'!$AJ$3:$AJ$98,"&lt;="&amp;S$2)/2</f>
        <v>0</v>
      </c>
      <c r="T76" s="3"/>
    </row>
    <row r="77" spans="1:20" x14ac:dyDescent="0.3">
      <c r="A77" t="s">
        <v>28</v>
      </c>
      <c r="B77" t="s">
        <v>15</v>
      </c>
      <c r="C77" s="3">
        <f>COUNTIF('Alle ruter'!$I$3:$I$98,'H2 pr endeplass'!A77)+COUNTIFS('Alle ruter'!$J$3:$J$98,'H2 pr endeplass'!A77,'Alle ruter'!$K$3:$K$98,"Nei")</f>
        <v>1</v>
      </c>
      <c r="D77" s="3">
        <f>COUNTIFS('Alle ruter'!$I$3:$I$98,'H2 pr endeplass'!A77,'Alle ruter'!$Z$3:$Z$98,"H2")+COUNTIFS('Alle ruter'!$J$3:$J$98,'H2 pr endeplass'!A77,'Alle ruter'!$K$3:$K$98,"Nei",'Alle ruter'!$Z$3:$Z$98,"H2")</f>
        <v>0</v>
      </c>
      <c r="E77">
        <v>0</v>
      </c>
      <c r="F77" s="3">
        <f>SUMIFS('Alle ruter'!$AC$3:$AC$98,'Alle ruter'!$Z$3:$Z$98,"H2",'Alle ruter'!$I$3:$I$98,$A77,'Alle ruter'!$AJ$3:$AJ$98,"&lt;="&amp;F$2)/2+SUMIFS('Alle ruter'!$AC$3:$AC$98,'Alle ruter'!$Z$3:$Z$98,"H2",'Alle ruter'!$J$3:$J$98,$A77,'Alle ruter'!$AJ$3:$AJ$98,"&lt;="&amp;F$2)/2</f>
        <v>0</v>
      </c>
      <c r="G77" s="3">
        <f>SUMIFS('Alle ruter'!$AC$3:$AC$98,'Alle ruter'!$Z$3:$Z$98,"H2",'Alle ruter'!$I$3:$I$98,$A77,'Alle ruter'!$AJ$3:$AJ$98,"&lt;="&amp;G$2)/2+SUMIFS('Alle ruter'!$AC$3:$AC$98,'Alle ruter'!$Z$3:$Z$98,"H2",'Alle ruter'!$J$3:$J$98,$A77,'Alle ruter'!$AJ$3:$AJ$98,"&lt;="&amp;G$2)/2</f>
        <v>0</v>
      </c>
      <c r="H77" s="3">
        <f>SUMIFS('Alle ruter'!$AC$3:$AC$98,'Alle ruter'!$Z$3:$Z$98,"H2",'Alle ruter'!$I$3:$I$98,$A77,'Alle ruter'!$AJ$3:$AJ$98,"&lt;="&amp;H$2)/2+SUMIFS('Alle ruter'!$AC$3:$AC$98,'Alle ruter'!$Z$3:$Z$98,"H2",'Alle ruter'!$J$3:$J$98,$A77,'Alle ruter'!$AJ$3:$AJ$98,"&lt;="&amp;H$2)/2</f>
        <v>0</v>
      </c>
      <c r="I77" s="3">
        <f>SUMIFS('Alle ruter'!$AC$3:$AC$98,'Alle ruter'!$Z$3:$Z$98,"H2",'Alle ruter'!$I$3:$I$98,$A77,'Alle ruter'!$AJ$3:$AJ$98,"&lt;="&amp;I$2)/2+SUMIFS('Alle ruter'!$AC$3:$AC$98,'Alle ruter'!$Z$3:$Z$98,"H2",'Alle ruter'!$J$3:$J$98,$A77,'Alle ruter'!$AJ$3:$AJ$98,"&lt;="&amp;I$2)/2</f>
        <v>0</v>
      </c>
      <c r="J77" s="3">
        <f>SUMIFS('Alle ruter'!$AC$3:$AC$98,'Alle ruter'!$Z$3:$Z$98,"H2",'Alle ruter'!$I$3:$I$98,$A77,'Alle ruter'!$AJ$3:$AJ$98,"&lt;="&amp;J$2)/2+SUMIFS('Alle ruter'!$AC$3:$AC$98,'Alle ruter'!$Z$3:$Z$98,"H2",'Alle ruter'!$J$3:$J$98,$A77,'Alle ruter'!$AJ$3:$AJ$98,"&lt;="&amp;J$2)/2</f>
        <v>0</v>
      </c>
      <c r="K77" s="3">
        <f>SUMIFS('Alle ruter'!$AC$3:$AC$98,'Alle ruter'!$Z$3:$Z$98,"H2",'Alle ruter'!$I$3:$I$98,$A77,'Alle ruter'!$AJ$3:$AJ$98,"&lt;="&amp;K$2)/2+SUMIFS('Alle ruter'!$AC$3:$AC$98,'Alle ruter'!$Z$3:$Z$98,"H2",'Alle ruter'!$J$3:$J$98,$A77,'Alle ruter'!$AJ$3:$AJ$98,"&lt;="&amp;K$2)/2</f>
        <v>0</v>
      </c>
      <c r="L77" s="3">
        <f>SUMIFS('Alle ruter'!$AC$3:$AC$98,'Alle ruter'!$Z$3:$Z$98,"H2",'Alle ruter'!$I$3:$I$98,$A77,'Alle ruter'!$AJ$3:$AJ$98,"&lt;="&amp;L$2)/2+SUMIFS('Alle ruter'!$AC$3:$AC$98,'Alle ruter'!$Z$3:$Z$98,"H2",'Alle ruter'!$J$3:$J$98,$A77,'Alle ruter'!$AJ$3:$AJ$98,"&lt;="&amp;L$2)/2</f>
        <v>0</v>
      </c>
      <c r="M77" s="3">
        <f>SUMIFS('Alle ruter'!$AC$3:$AC$98,'Alle ruter'!$Z$3:$Z$98,"H2",'Alle ruter'!$I$3:$I$98,$A77,'Alle ruter'!$AJ$3:$AJ$98,"&lt;="&amp;M$2)/2+SUMIFS('Alle ruter'!$AC$3:$AC$98,'Alle ruter'!$Z$3:$Z$98,"H2",'Alle ruter'!$J$3:$J$98,$A77,'Alle ruter'!$AJ$3:$AJ$98,"&lt;="&amp;M$2)/2</f>
        <v>0</v>
      </c>
      <c r="N77" s="3">
        <f>SUMIFS('Alle ruter'!$AC$3:$AC$98,'Alle ruter'!$Z$3:$Z$98,"H2",'Alle ruter'!$I$3:$I$98,$A77,'Alle ruter'!$AJ$3:$AJ$98,"&lt;="&amp;N$2)/2+SUMIFS('Alle ruter'!$AC$3:$AC$98,'Alle ruter'!$Z$3:$Z$98,"H2",'Alle ruter'!$J$3:$J$98,$A77,'Alle ruter'!$AJ$3:$AJ$98,"&lt;="&amp;N$2)/2</f>
        <v>0</v>
      </c>
      <c r="O77" s="3">
        <f>SUMIFS('Alle ruter'!$AC$3:$AC$98,'Alle ruter'!$Z$3:$Z$98,"H2",'Alle ruter'!$I$3:$I$98,$A77,'Alle ruter'!$AJ$3:$AJ$98,"&lt;="&amp;O$2)/2+SUMIFS('Alle ruter'!$AC$3:$AC$98,'Alle ruter'!$Z$3:$Z$98,"H2",'Alle ruter'!$J$3:$J$98,$A77,'Alle ruter'!$AJ$3:$AJ$98,"&lt;="&amp;O$2)/2</f>
        <v>0</v>
      </c>
      <c r="P77" s="3">
        <f>SUMIFS('Alle ruter'!$AC$3:$AC$98,'Alle ruter'!$Z$3:$Z$98,"H2",'Alle ruter'!$I$3:$I$98,$A77,'Alle ruter'!$AJ$3:$AJ$98,"&lt;="&amp;P$2)/2+SUMIFS('Alle ruter'!$AC$3:$AC$98,'Alle ruter'!$Z$3:$Z$98,"H2",'Alle ruter'!$J$3:$J$98,$A77,'Alle ruter'!$AJ$3:$AJ$98,"&lt;="&amp;P$2)/2</f>
        <v>0</v>
      </c>
      <c r="Q77" s="3">
        <f>SUMIFS('Alle ruter'!$AC$3:$AC$98,'Alle ruter'!$Z$3:$Z$98,"H2",'Alle ruter'!$I$3:$I$98,$A77,'Alle ruter'!$AJ$3:$AJ$98,"&lt;="&amp;Q$2)/2+SUMIFS('Alle ruter'!$AC$3:$AC$98,'Alle ruter'!$Z$3:$Z$98,"H2",'Alle ruter'!$J$3:$J$98,$A77,'Alle ruter'!$AJ$3:$AJ$98,"&lt;="&amp;Q$2)/2</f>
        <v>0</v>
      </c>
      <c r="R77" s="3">
        <f>SUMIFS('Alle ruter'!$AC$3:$AC$98,'Alle ruter'!$Z$3:$Z$98,"H2",'Alle ruter'!$I$3:$I$98,$A77,'Alle ruter'!$AJ$3:$AJ$98,"&lt;="&amp;R$2)/2+SUMIFS('Alle ruter'!$AC$3:$AC$98,'Alle ruter'!$Z$3:$Z$98,"H2",'Alle ruter'!$J$3:$J$98,$A77,'Alle ruter'!$AJ$3:$AJ$98,"&lt;="&amp;R$2)/2</f>
        <v>0</v>
      </c>
      <c r="S77" s="3">
        <f>SUMIFS('Alle ruter'!$AC$3:$AC$98,'Alle ruter'!$Z$3:$Z$98,"H2",'Alle ruter'!$I$3:$I$98,$A77,'Alle ruter'!$AJ$3:$AJ$98,"&lt;="&amp;S$2)/2+SUMIFS('Alle ruter'!$AC$3:$AC$98,'Alle ruter'!$Z$3:$Z$98,"H2",'Alle ruter'!$J$3:$J$98,$A77,'Alle ruter'!$AJ$3:$AJ$98,"&lt;="&amp;S$2)/2</f>
        <v>0</v>
      </c>
      <c r="T77" s="3"/>
    </row>
    <row r="78" spans="1:20" x14ac:dyDescent="0.3">
      <c r="A78" t="s">
        <v>29</v>
      </c>
      <c r="C78" s="3">
        <f>COUNTIF('Alle ruter'!$I$3:$I$98,'H2 pr endeplass'!A78)+COUNTIFS('Alle ruter'!$J$3:$J$98,'H2 pr endeplass'!A78,'Alle ruter'!$K$3:$K$98,"Nei")</f>
        <v>1</v>
      </c>
      <c r="D78" s="3">
        <f>COUNTIFS('Alle ruter'!$I$3:$I$98,'H2 pr endeplass'!A78,'Alle ruter'!$Z$3:$Z$98,"H2")+COUNTIFS('Alle ruter'!$J$3:$J$98,'H2 pr endeplass'!A78,'Alle ruter'!$K$3:$K$98,"Nei",'Alle ruter'!$Z$3:$Z$98,"H2")</f>
        <v>0</v>
      </c>
      <c r="E78">
        <v>0</v>
      </c>
      <c r="F78" s="3">
        <f>SUMIFS('Alle ruter'!$AC$3:$AC$98,'Alle ruter'!$Z$3:$Z$98,"H2",'Alle ruter'!$I$3:$I$98,$A78,'Alle ruter'!$AJ$3:$AJ$98,"&lt;="&amp;F$2)/2+SUMIFS('Alle ruter'!$AC$3:$AC$98,'Alle ruter'!$Z$3:$Z$98,"H2",'Alle ruter'!$J$3:$J$98,$A78,'Alle ruter'!$AJ$3:$AJ$98,"&lt;="&amp;F$2)/2</f>
        <v>0</v>
      </c>
      <c r="G78" s="3">
        <f>SUMIFS('Alle ruter'!$AC$3:$AC$98,'Alle ruter'!$Z$3:$Z$98,"H2",'Alle ruter'!$I$3:$I$98,$A78,'Alle ruter'!$AJ$3:$AJ$98,"&lt;="&amp;G$2)/2+SUMIFS('Alle ruter'!$AC$3:$AC$98,'Alle ruter'!$Z$3:$Z$98,"H2",'Alle ruter'!$J$3:$J$98,$A78,'Alle ruter'!$AJ$3:$AJ$98,"&lt;="&amp;G$2)/2</f>
        <v>0</v>
      </c>
      <c r="H78" s="3">
        <f>SUMIFS('Alle ruter'!$AC$3:$AC$98,'Alle ruter'!$Z$3:$Z$98,"H2",'Alle ruter'!$I$3:$I$98,$A78,'Alle ruter'!$AJ$3:$AJ$98,"&lt;="&amp;H$2)/2+SUMIFS('Alle ruter'!$AC$3:$AC$98,'Alle ruter'!$Z$3:$Z$98,"H2",'Alle ruter'!$J$3:$J$98,$A78,'Alle ruter'!$AJ$3:$AJ$98,"&lt;="&amp;H$2)/2</f>
        <v>0</v>
      </c>
      <c r="I78" s="3">
        <f>SUMIFS('Alle ruter'!$AC$3:$AC$98,'Alle ruter'!$Z$3:$Z$98,"H2",'Alle ruter'!$I$3:$I$98,$A78,'Alle ruter'!$AJ$3:$AJ$98,"&lt;="&amp;I$2)/2+SUMIFS('Alle ruter'!$AC$3:$AC$98,'Alle ruter'!$Z$3:$Z$98,"H2",'Alle ruter'!$J$3:$J$98,$A78,'Alle ruter'!$AJ$3:$AJ$98,"&lt;="&amp;I$2)/2</f>
        <v>0</v>
      </c>
      <c r="J78" s="3">
        <f>SUMIFS('Alle ruter'!$AC$3:$AC$98,'Alle ruter'!$Z$3:$Z$98,"H2",'Alle ruter'!$I$3:$I$98,$A78,'Alle ruter'!$AJ$3:$AJ$98,"&lt;="&amp;J$2)/2+SUMIFS('Alle ruter'!$AC$3:$AC$98,'Alle ruter'!$Z$3:$Z$98,"H2",'Alle ruter'!$J$3:$J$98,$A78,'Alle ruter'!$AJ$3:$AJ$98,"&lt;="&amp;J$2)/2</f>
        <v>0</v>
      </c>
      <c r="K78" s="3">
        <f>SUMIFS('Alle ruter'!$AC$3:$AC$98,'Alle ruter'!$Z$3:$Z$98,"H2",'Alle ruter'!$I$3:$I$98,$A78,'Alle ruter'!$AJ$3:$AJ$98,"&lt;="&amp;K$2)/2+SUMIFS('Alle ruter'!$AC$3:$AC$98,'Alle ruter'!$Z$3:$Z$98,"H2",'Alle ruter'!$J$3:$J$98,$A78,'Alle ruter'!$AJ$3:$AJ$98,"&lt;="&amp;K$2)/2</f>
        <v>0</v>
      </c>
      <c r="L78" s="3">
        <f>SUMIFS('Alle ruter'!$AC$3:$AC$98,'Alle ruter'!$Z$3:$Z$98,"H2",'Alle ruter'!$I$3:$I$98,$A78,'Alle ruter'!$AJ$3:$AJ$98,"&lt;="&amp;L$2)/2+SUMIFS('Alle ruter'!$AC$3:$AC$98,'Alle ruter'!$Z$3:$Z$98,"H2",'Alle ruter'!$J$3:$J$98,$A78,'Alle ruter'!$AJ$3:$AJ$98,"&lt;="&amp;L$2)/2</f>
        <v>0</v>
      </c>
      <c r="M78" s="3">
        <f>SUMIFS('Alle ruter'!$AC$3:$AC$98,'Alle ruter'!$Z$3:$Z$98,"H2",'Alle ruter'!$I$3:$I$98,$A78,'Alle ruter'!$AJ$3:$AJ$98,"&lt;="&amp;M$2)/2+SUMIFS('Alle ruter'!$AC$3:$AC$98,'Alle ruter'!$Z$3:$Z$98,"H2",'Alle ruter'!$J$3:$J$98,$A78,'Alle ruter'!$AJ$3:$AJ$98,"&lt;="&amp;M$2)/2</f>
        <v>0</v>
      </c>
      <c r="N78" s="3">
        <f>SUMIFS('Alle ruter'!$AC$3:$AC$98,'Alle ruter'!$Z$3:$Z$98,"H2",'Alle ruter'!$I$3:$I$98,$A78,'Alle ruter'!$AJ$3:$AJ$98,"&lt;="&amp;N$2)/2+SUMIFS('Alle ruter'!$AC$3:$AC$98,'Alle ruter'!$Z$3:$Z$98,"H2",'Alle ruter'!$J$3:$J$98,$A78,'Alle ruter'!$AJ$3:$AJ$98,"&lt;="&amp;N$2)/2</f>
        <v>0</v>
      </c>
      <c r="O78" s="3">
        <f>SUMIFS('Alle ruter'!$AC$3:$AC$98,'Alle ruter'!$Z$3:$Z$98,"H2",'Alle ruter'!$I$3:$I$98,$A78,'Alle ruter'!$AJ$3:$AJ$98,"&lt;="&amp;O$2)/2+SUMIFS('Alle ruter'!$AC$3:$AC$98,'Alle ruter'!$Z$3:$Z$98,"H2",'Alle ruter'!$J$3:$J$98,$A78,'Alle ruter'!$AJ$3:$AJ$98,"&lt;="&amp;O$2)/2</f>
        <v>0</v>
      </c>
      <c r="P78" s="3">
        <f>SUMIFS('Alle ruter'!$AC$3:$AC$98,'Alle ruter'!$Z$3:$Z$98,"H2",'Alle ruter'!$I$3:$I$98,$A78,'Alle ruter'!$AJ$3:$AJ$98,"&lt;="&amp;P$2)/2+SUMIFS('Alle ruter'!$AC$3:$AC$98,'Alle ruter'!$Z$3:$Z$98,"H2",'Alle ruter'!$J$3:$J$98,$A78,'Alle ruter'!$AJ$3:$AJ$98,"&lt;="&amp;P$2)/2</f>
        <v>0</v>
      </c>
      <c r="Q78" s="3">
        <f>SUMIFS('Alle ruter'!$AC$3:$AC$98,'Alle ruter'!$Z$3:$Z$98,"H2",'Alle ruter'!$I$3:$I$98,$A78,'Alle ruter'!$AJ$3:$AJ$98,"&lt;="&amp;Q$2)/2+SUMIFS('Alle ruter'!$AC$3:$AC$98,'Alle ruter'!$Z$3:$Z$98,"H2",'Alle ruter'!$J$3:$J$98,$A78,'Alle ruter'!$AJ$3:$AJ$98,"&lt;="&amp;Q$2)/2</f>
        <v>0</v>
      </c>
      <c r="R78" s="3">
        <f>SUMIFS('Alle ruter'!$AC$3:$AC$98,'Alle ruter'!$Z$3:$Z$98,"H2",'Alle ruter'!$I$3:$I$98,$A78,'Alle ruter'!$AJ$3:$AJ$98,"&lt;="&amp;R$2)/2+SUMIFS('Alle ruter'!$AC$3:$AC$98,'Alle ruter'!$Z$3:$Z$98,"H2",'Alle ruter'!$J$3:$J$98,$A78,'Alle ruter'!$AJ$3:$AJ$98,"&lt;="&amp;R$2)/2</f>
        <v>0</v>
      </c>
      <c r="S78" s="3">
        <f>SUMIFS('Alle ruter'!$AC$3:$AC$98,'Alle ruter'!$Z$3:$Z$98,"H2",'Alle ruter'!$I$3:$I$98,$A78,'Alle ruter'!$AJ$3:$AJ$98,"&lt;="&amp;S$2)/2+SUMIFS('Alle ruter'!$AC$3:$AC$98,'Alle ruter'!$Z$3:$Z$98,"H2",'Alle ruter'!$J$3:$J$98,$A78,'Alle ruter'!$AJ$3:$AJ$98,"&lt;="&amp;S$2)/2</f>
        <v>0</v>
      </c>
      <c r="T78" s="3"/>
    </row>
    <row r="79" spans="1:20" x14ac:dyDescent="0.3">
      <c r="A79" t="s">
        <v>136</v>
      </c>
      <c r="B79" t="s">
        <v>15</v>
      </c>
      <c r="C79" s="3">
        <f>COUNTIF('Alle ruter'!$I$3:$I$98,'H2 pr endeplass'!A79)+COUNTIFS('Alle ruter'!$J$3:$J$98,'H2 pr endeplass'!A79,'Alle ruter'!$K$3:$K$98,"Nei")</f>
        <v>1</v>
      </c>
      <c r="D79" s="3">
        <f>COUNTIFS('Alle ruter'!$I$3:$I$98,'H2 pr endeplass'!A79,'Alle ruter'!$Z$3:$Z$98,"H2")+COUNTIFS('Alle ruter'!$J$3:$J$98,'H2 pr endeplass'!A79,'Alle ruter'!$K$3:$K$98,"Nei",'Alle ruter'!$Z$3:$Z$98,"H2")</f>
        <v>0</v>
      </c>
      <c r="E79">
        <v>0</v>
      </c>
      <c r="F79" s="3">
        <f>SUMIFS('Alle ruter'!$AC$3:$AC$98,'Alle ruter'!$Z$3:$Z$98,"H2",'Alle ruter'!$I$3:$I$98,$A79,'Alle ruter'!$AJ$3:$AJ$98,"&lt;="&amp;F$2)/2+SUMIFS('Alle ruter'!$AC$3:$AC$98,'Alle ruter'!$Z$3:$Z$98,"H2",'Alle ruter'!$J$3:$J$98,$A79,'Alle ruter'!$AJ$3:$AJ$98,"&lt;="&amp;F$2)/2</f>
        <v>0</v>
      </c>
      <c r="G79" s="3">
        <f>SUMIFS('Alle ruter'!$AC$3:$AC$98,'Alle ruter'!$Z$3:$Z$98,"H2",'Alle ruter'!$I$3:$I$98,$A79,'Alle ruter'!$AJ$3:$AJ$98,"&lt;="&amp;G$2)/2+SUMIFS('Alle ruter'!$AC$3:$AC$98,'Alle ruter'!$Z$3:$Z$98,"H2",'Alle ruter'!$J$3:$J$98,$A79,'Alle ruter'!$AJ$3:$AJ$98,"&lt;="&amp;G$2)/2</f>
        <v>0</v>
      </c>
      <c r="H79" s="3">
        <f>SUMIFS('Alle ruter'!$AC$3:$AC$98,'Alle ruter'!$Z$3:$Z$98,"H2",'Alle ruter'!$I$3:$I$98,$A79,'Alle ruter'!$AJ$3:$AJ$98,"&lt;="&amp;H$2)/2+SUMIFS('Alle ruter'!$AC$3:$AC$98,'Alle ruter'!$Z$3:$Z$98,"H2",'Alle ruter'!$J$3:$J$98,$A79,'Alle ruter'!$AJ$3:$AJ$98,"&lt;="&amp;H$2)/2</f>
        <v>0</v>
      </c>
      <c r="I79" s="3">
        <f>SUMIFS('Alle ruter'!$AC$3:$AC$98,'Alle ruter'!$Z$3:$Z$98,"H2",'Alle ruter'!$I$3:$I$98,$A79,'Alle ruter'!$AJ$3:$AJ$98,"&lt;="&amp;I$2)/2+SUMIFS('Alle ruter'!$AC$3:$AC$98,'Alle ruter'!$Z$3:$Z$98,"H2",'Alle ruter'!$J$3:$J$98,$A79,'Alle ruter'!$AJ$3:$AJ$98,"&lt;="&amp;I$2)/2</f>
        <v>0</v>
      </c>
      <c r="J79" s="3">
        <f>SUMIFS('Alle ruter'!$AC$3:$AC$98,'Alle ruter'!$Z$3:$Z$98,"H2",'Alle ruter'!$I$3:$I$98,$A79,'Alle ruter'!$AJ$3:$AJ$98,"&lt;="&amp;J$2)/2+SUMIFS('Alle ruter'!$AC$3:$AC$98,'Alle ruter'!$Z$3:$Z$98,"H2",'Alle ruter'!$J$3:$J$98,$A79,'Alle ruter'!$AJ$3:$AJ$98,"&lt;="&amp;J$2)/2</f>
        <v>0</v>
      </c>
      <c r="K79" s="3">
        <f>SUMIFS('Alle ruter'!$AC$3:$AC$98,'Alle ruter'!$Z$3:$Z$98,"H2",'Alle ruter'!$I$3:$I$98,$A79,'Alle ruter'!$AJ$3:$AJ$98,"&lt;="&amp;K$2)/2+SUMIFS('Alle ruter'!$AC$3:$AC$98,'Alle ruter'!$Z$3:$Z$98,"H2",'Alle ruter'!$J$3:$J$98,$A79,'Alle ruter'!$AJ$3:$AJ$98,"&lt;="&amp;K$2)/2</f>
        <v>0</v>
      </c>
      <c r="L79" s="3">
        <f>SUMIFS('Alle ruter'!$AC$3:$AC$98,'Alle ruter'!$Z$3:$Z$98,"H2",'Alle ruter'!$I$3:$I$98,$A79,'Alle ruter'!$AJ$3:$AJ$98,"&lt;="&amp;L$2)/2+SUMIFS('Alle ruter'!$AC$3:$AC$98,'Alle ruter'!$Z$3:$Z$98,"H2",'Alle ruter'!$J$3:$J$98,$A79,'Alle ruter'!$AJ$3:$AJ$98,"&lt;="&amp;L$2)/2</f>
        <v>0</v>
      </c>
      <c r="M79" s="3">
        <f>SUMIFS('Alle ruter'!$AC$3:$AC$98,'Alle ruter'!$Z$3:$Z$98,"H2",'Alle ruter'!$I$3:$I$98,$A79,'Alle ruter'!$AJ$3:$AJ$98,"&lt;="&amp;M$2)/2+SUMIFS('Alle ruter'!$AC$3:$AC$98,'Alle ruter'!$Z$3:$Z$98,"H2",'Alle ruter'!$J$3:$J$98,$A79,'Alle ruter'!$AJ$3:$AJ$98,"&lt;="&amp;M$2)/2</f>
        <v>0</v>
      </c>
      <c r="N79" s="3">
        <f>SUMIFS('Alle ruter'!$AC$3:$AC$98,'Alle ruter'!$Z$3:$Z$98,"H2",'Alle ruter'!$I$3:$I$98,$A79,'Alle ruter'!$AJ$3:$AJ$98,"&lt;="&amp;N$2)/2+SUMIFS('Alle ruter'!$AC$3:$AC$98,'Alle ruter'!$Z$3:$Z$98,"H2",'Alle ruter'!$J$3:$J$98,$A79,'Alle ruter'!$AJ$3:$AJ$98,"&lt;="&amp;N$2)/2</f>
        <v>0</v>
      </c>
      <c r="O79" s="3">
        <f>SUMIFS('Alle ruter'!$AC$3:$AC$98,'Alle ruter'!$Z$3:$Z$98,"H2",'Alle ruter'!$I$3:$I$98,$A79,'Alle ruter'!$AJ$3:$AJ$98,"&lt;="&amp;O$2)/2+SUMIFS('Alle ruter'!$AC$3:$AC$98,'Alle ruter'!$Z$3:$Z$98,"H2",'Alle ruter'!$J$3:$J$98,$A79,'Alle ruter'!$AJ$3:$AJ$98,"&lt;="&amp;O$2)/2</f>
        <v>0</v>
      </c>
      <c r="P79" s="3">
        <f>SUMIFS('Alle ruter'!$AC$3:$AC$98,'Alle ruter'!$Z$3:$Z$98,"H2",'Alle ruter'!$I$3:$I$98,$A79,'Alle ruter'!$AJ$3:$AJ$98,"&lt;="&amp;P$2)/2+SUMIFS('Alle ruter'!$AC$3:$AC$98,'Alle ruter'!$Z$3:$Z$98,"H2",'Alle ruter'!$J$3:$J$98,$A79,'Alle ruter'!$AJ$3:$AJ$98,"&lt;="&amp;P$2)/2</f>
        <v>0</v>
      </c>
      <c r="Q79" s="3">
        <f>SUMIFS('Alle ruter'!$AC$3:$AC$98,'Alle ruter'!$Z$3:$Z$98,"H2",'Alle ruter'!$I$3:$I$98,$A79,'Alle ruter'!$AJ$3:$AJ$98,"&lt;="&amp;Q$2)/2+SUMIFS('Alle ruter'!$AC$3:$AC$98,'Alle ruter'!$Z$3:$Z$98,"H2",'Alle ruter'!$J$3:$J$98,$A79,'Alle ruter'!$AJ$3:$AJ$98,"&lt;="&amp;Q$2)/2</f>
        <v>0</v>
      </c>
      <c r="R79" s="3">
        <f>SUMIFS('Alle ruter'!$AC$3:$AC$98,'Alle ruter'!$Z$3:$Z$98,"H2",'Alle ruter'!$I$3:$I$98,$A79,'Alle ruter'!$AJ$3:$AJ$98,"&lt;="&amp;R$2)/2+SUMIFS('Alle ruter'!$AC$3:$AC$98,'Alle ruter'!$Z$3:$Z$98,"H2",'Alle ruter'!$J$3:$J$98,$A79,'Alle ruter'!$AJ$3:$AJ$98,"&lt;="&amp;R$2)/2</f>
        <v>0</v>
      </c>
      <c r="S79" s="3">
        <f>SUMIFS('Alle ruter'!$AC$3:$AC$98,'Alle ruter'!$Z$3:$Z$98,"H2",'Alle ruter'!$I$3:$I$98,$A79,'Alle ruter'!$AJ$3:$AJ$98,"&lt;="&amp;S$2)/2+SUMIFS('Alle ruter'!$AC$3:$AC$98,'Alle ruter'!$Z$3:$Z$98,"H2",'Alle ruter'!$J$3:$J$98,$A79,'Alle ruter'!$AJ$3:$AJ$98,"&lt;="&amp;S$2)/2</f>
        <v>0</v>
      </c>
      <c r="T79" s="3"/>
    </row>
    <row r="80" spans="1:20" x14ac:dyDescent="0.3">
      <c r="A80" t="s">
        <v>154</v>
      </c>
      <c r="B80" t="s">
        <v>388</v>
      </c>
      <c r="C80" s="3">
        <f>COUNTIF('Alle ruter'!$I$3:$I$98,'H2 pr endeplass'!A80)+COUNTIFS('Alle ruter'!$J$3:$J$98,'H2 pr endeplass'!A80,'Alle ruter'!$K$3:$K$98,"Nei")</f>
        <v>1</v>
      </c>
      <c r="D80" s="3">
        <f>COUNTIFS('Alle ruter'!$I$3:$I$98,'H2 pr endeplass'!A80,'Alle ruter'!$Z$3:$Z$98,"H2")+COUNTIFS('Alle ruter'!$J$3:$J$98,'H2 pr endeplass'!A80,'Alle ruter'!$K$3:$K$98,"Nei",'Alle ruter'!$Z$3:$Z$98,"H2")</f>
        <v>0</v>
      </c>
      <c r="E80">
        <v>0</v>
      </c>
      <c r="F80" s="3">
        <f>SUMIFS('Alle ruter'!$AC$3:$AC$98,'Alle ruter'!$Z$3:$Z$98,"H2",'Alle ruter'!$I$3:$I$98,$A80,'Alle ruter'!$AJ$3:$AJ$98,"&lt;="&amp;F$2)/2+SUMIFS('Alle ruter'!$AC$3:$AC$98,'Alle ruter'!$Z$3:$Z$98,"H2",'Alle ruter'!$J$3:$J$98,$A80,'Alle ruter'!$AJ$3:$AJ$98,"&lt;="&amp;F$2)/2</f>
        <v>0</v>
      </c>
      <c r="G80" s="3">
        <f>SUMIFS('Alle ruter'!$AC$3:$AC$98,'Alle ruter'!$Z$3:$Z$98,"H2",'Alle ruter'!$I$3:$I$98,$A80,'Alle ruter'!$AJ$3:$AJ$98,"&lt;="&amp;G$2)/2+SUMIFS('Alle ruter'!$AC$3:$AC$98,'Alle ruter'!$Z$3:$Z$98,"H2",'Alle ruter'!$J$3:$J$98,$A80,'Alle ruter'!$AJ$3:$AJ$98,"&lt;="&amp;G$2)/2</f>
        <v>0</v>
      </c>
      <c r="H80" s="3">
        <f>SUMIFS('Alle ruter'!$AC$3:$AC$98,'Alle ruter'!$Z$3:$Z$98,"H2",'Alle ruter'!$I$3:$I$98,$A80,'Alle ruter'!$AJ$3:$AJ$98,"&lt;="&amp;H$2)/2+SUMIFS('Alle ruter'!$AC$3:$AC$98,'Alle ruter'!$Z$3:$Z$98,"H2",'Alle ruter'!$J$3:$J$98,$A80,'Alle ruter'!$AJ$3:$AJ$98,"&lt;="&amp;H$2)/2</f>
        <v>0</v>
      </c>
      <c r="I80" s="3">
        <f>SUMIFS('Alle ruter'!$AC$3:$AC$98,'Alle ruter'!$Z$3:$Z$98,"H2",'Alle ruter'!$I$3:$I$98,$A80,'Alle ruter'!$AJ$3:$AJ$98,"&lt;="&amp;I$2)/2+SUMIFS('Alle ruter'!$AC$3:$AC$98,'Alle ruter'!$Z$3:$Z$98,"H2",'Alle ruter'!$J$3:$J$98,$A80,'Alle ruter'!$AJ$3:$AJ$98,"&lt;="&amp;I$2)/2</f>
        <v>0</v>
      </c>
      <c r="J80" s="3">
        <f>SUMIFS('Alle ruter'!$AC$3:$AC$98,'Alle ruter'!$Z$3:$Z$98,"H2",'Alle ruter'!$I$3:$I$98,$A80,'Alle ruter'!$AJ$3:$AJ$98,"&lt;="&amp;J$2)/2+SUMIFS('Alle ruter'!$AC$3:$AC$98,'Alle ruter'!$Z$3:$Z$98,"H2",'Alle ruter'!$J$3:$J$98,$A80,'Alle ruter'!$AJ$3:$AJ$98,"&lt;="&amp;J$2)/2</f>
        <v>0</v>
      </c>
      <c r="K80" s="3">
        <f>SUMIFS('Alle ruter'!$AC$3:$AC$98,'Alle ruter'!$Z$3:$Z$98,"H2",'Alle ruter'!$I$3:$I$98,$A80,'Alle ruter'!$AJ$3:$AJ$98,"&lt;="&amp;K$2)/2+SUMIFS('Alle ruter'!$AC$3:$AC$98,'Alle ruter'!$Z$3:$Z$98,"H2",'Alle ruter'!$J$3:$J$98,$A80,'Alle ruter'!$AJ$3:$AJ$98,"&lt;="&amp;K$2)/2</f>
        <v>0</v>
      </c>
      <c r="L80" s="3">
        <f>SUMIFS('Alle ruter'!$AC$3:$AC$98,'Alle ruter'!$Z$3:$Z$98,"H2",'Alle ruter'!$I$3:$I$98,$A80,'Alle ruter'!$AJ$3:$AJ$98,"&lt;="&amp;L$2)/2+SUMIFS('Alle ruter'!$AC$3:$AC$98,'Alle ruter'!$Z$3:$Z$98,"H2",'Alle ruter'!$J$3:$J$98,$A80,'Alle ruter'!$AJ$3:$AJ$98,"&lt;="&amp;L$2)/2</f>
        <v>0</v>
      </c>
      <c r="M80" s="3">
        <f>SUMIFS('Alle ruter'!$AC$3:$AC$98,'Alle ruter'!$Z$3:$Z$98,"H2",'Alle ruter'!$I$3:$I$98,$A80,'Alle ruter'!$AJ$3:$AJ$98,"&lt;="&amp;M$2)/2+SUMIFS('Alle ruter'!$AC$3:$AC$98,'Alle ruter'!$Z$3:$Z$98,"H2",'Alle ruter'!$J$3:$J$98,$A80,'Alle ruter'!$AJ$3:$AJ$98,"&lt;="&amp;M$2)/2</f>
        <v>0</v>
      </c>
      <c r="N80" s="3">
        <f>SUMIFS('Alle ruter'!$AC$3:$AC$98,'Alle ruter'!$Z$3:$Z$98,"H2",'Alle ruter'!$I$3:$I$98,$A80,'Alle ruter'!$AJ$3:$AJ$98,"&lt;="&amp;N$2)/2+SUMIFS('Alle ruter'!$AC$3:$AC$98,'Alle ruter'!$Z$3:$Z$98,"H2",'Alle ruter'!$J$3:$J$98,$A80,'Alle ruter'!$AJ$3:$AJ$98,"&lt;="&amp;N$2)/2</f>
        <v>0</v>
      </c>
      <c r="O80" s="3">
        <f>SUMIFS('Alle ruter'!$AC$3:$AC$98,'Alle ruter'!$Z$3:$Z$98,"H2",'Alle ruter'!$I$3:$I$98,$A80,'Alle ruter'!$AJ$3:$AJ$98,"&lt;="&amp;O$2)/2+SUMIFS('Alle ruter'!$AC$3:$AC$98,'Alle ruter'!$Z$3:$Z$98,"H2",'Alle ruter'!$J$3:$J$98,$A80,'Alle ruter'!$AJ$3:$AJ$98,"&lt;="&amp;O$2)/2</f>
        <v>0</v>
      </c>
      <c r="P80" s="3">
        <f>SUMIFS('Alle ruter'!$AC$3:$AC$98,'Alle ruter'!$Z$3:$Z$98,"H2",'Alle ruter'!$I$3:$I$98,$A80,'Alle ruter'!$AJ$3:$AJ$98,"&lt;="&amp;P$2)/2+SUMIFS('Alle ruter'!$AC$3:$AC$98,'Alle ruter'!$Z$3:$Z$98,"H2",'Alle ruter'!$J$3:$J$98,$A80,'Alle ruter'!$AJ$3:$AJ$98,"&lt;="&amp;P$2)/2</f>
        <v>0</v>
      </c>
      <c r="Q80" s="3">
        <f>SUMIFS('Alle ruter'!$AC$3:$AC$98,'Alle ruter'!$Z$3:$Z$98,"H2",'Alle ruter'!$I$3:$I$98,$A80,'Alle ruter'!$AJ$3:$AJ$98,"&lt;="&amp;Q$2)/2+SUMIFS('Alle ruter'!$AC$3:$AC$98,'Alle ruter'!$Z$3:$Z$98,"H2",'Alle ruter'!$J$3:$J$98,$A80,'Alle ruter'!$AJ$3:$AJ$98,"&lt;="&amp;Q$2)/2</f>
        <v>0</v>
      </c>
      <c r="R80" s="3">
        <f>SUMIFS('Alle ruter'!$AC$3:$AC$98,'Alle ruter'!$Z$3:$Z$98,"H2",'Alle ruter'!$I$3:$I$98,$A80,'Alle ruter'!$AJ$3:$AJ$98,"&lt;="&amp;R$2)/2+SUMIFS('Alle ruter'!$AC$3:$AC$98,'Alle ruter'!$Z$3:$Z$98,"H2",'Alle ruter'!$J$3:$J$98,$A80,'Alle ruter'!$AJ$3:$AJ$98,"&lt;="&amp;R$2)/2</f>
        <v>0</v>
      </c>
      <c r="S80" s="3">
        <f>SUMIFS('Alle ruter'!$AC$3:$AC$98,'Alle ruter'!$Z$3:$Z$98,"H2",'Alle ruter'!$I$3:$I$98,$A80,'Alle ruter'!$AJ$3:$AJ$98,"&lt;="&amp;S$2)/2+SUMIFS('Alle ruter'!$AC$3:$AC$98,'Alle ruter'!$Z$3:$Z$98,"H2",'Alle ruter'!$J$3:$J$98,$A80,'Alle ruter'!$AJ$3:$AJ$98,"&lt;="&amp;S$2)/2</f>
        <v>0</v>
      </c>
      <c r="T80" s="3"/>
    </row>
    <row r="81" spans="1:20" x14ac:dyDescent="0.3">
      <c r="A81" t="s">
        <v>155</v>
      </c>
      <c r="B81" t="s">
        <v>388</v>
      </c>
      <c r="C81" s="3">
        <f>COUNTIF('Alle ruter'!$I$3:$I$98,'H2 pr endeplass'!A81)+COUNTIFS('Alle ruter'!$J$3:$J$98,'H2 pr endeplass'!A81,'Alle ruter'!$K$3:$K$98,"Nei")</f>
        <v>1</v>
      </c>
      <c r="D81" s="3">
        <f>COUNTIFS('Alle ruter'!$I$3:$I$98,'H2 pr endeplass'!A81,'Alle ruter'!$Z$3:$Z$98,"H2")+COUNTIFS('Alle ruter'!$J$3:$J$98,'H2 pr endeplass'!A81,'Alle ruter'!$K$3:$K$98,"Nei",'Alle ruter'!$Z$3:$Z$98,"H2")</f>
        <v>0</v>
      </c>
      <c r="E81">
        <v>0</v>
      </c>
      <c r="F81" s="3">
        <f>SUMIFS('Alle ruter'!$AC$3:$AC$98,'Alle ruter'!$Z$3:$Z$98,"H2",'Alle ruter'!$I$3:$I$98,$A81,'Alle ruter'!$AJ$3:$AJ$98,"&lt;="&amp;F$2)/2+SUMIFS('Alle ruter'!$AC$3:$AC$98,'Alle ruter'!$Z$3:$Z$98,"H2",'Alle ruter'!$J$3:$J$98,$A81,'Alle ruter'!$AJ$3:$AJ$98,"&lt;="&amp;F$2)/2</f>
        <v>0</v>
      </c>
      <c r="G81" s="3">
        <f>SUMIFS('Alle ruter'!$AC$3:$AC$98,'Alle ruter'!$Z$3:$Z$98,"H2",'Alle ruter'!$I$3:$I$98,$A81,'Alle ruter'!$AJ$3:$AJ$98,"&lt;="&amp;G$2)/2+SUMIFS('Alle ruter'!$AC$3:$AC$98,'Alle ruter'!$Z$3:$Z$98,"H2",'Alle ruter'!$J$3:$J$98,$A81,'Alle ruter'!$AJ$3:$AJ$98,"&lt;="&amp;G$2)/2</f>
        <v>0</v>
      </c>
      <c r="H81" s="3">
        <f>SUMIFS('Alle ruter'!$AC$3:$AC$98,'Alle ruter'!$Z$3:$Z$98,"H2",'Alle ruter'!$I$3:$I$98,$A81,'Alle ruter'!$AJ$3:$AJ$98,"&lt;="&amp;H$2)/2+SUMIFS('Alle ruter'!$AC$3:$AC$98,'Alle ruter'!$Z$3:$Z$98,"H2",'Alle ruter'!$J$3:$J$98,$A81,'Alle ruter'!$AJ$3:$AJ$98,"&lt;="&amp;H$2)/2</f>
        <v>0</v>
      </c>
      <c r="I81" s="3">
        <f>SUMIFS('Alle ruter'!$AC$3:$AC$98,'Alle ruter'!$Z$3:$Z$98,"H2",'Alle ruter'!$I$3:$I$98,$A81,'Alle ruter'!$AJ$3:$AJ$98,"&lt;="&amp;I$2)/2+SUMIFS('Alle ruter'!$AC$3:$AC$98,'Alle ruter'!$Z$3:$Z$98,"H2",'Alle ruter'!$J$3:$J$98,$A81,'Alle ruter'!$AJ$3:$AJ$98,"&lt;="&amp;I$2)/2</f>
        <v>0</v>
      </c>
      <c r="J81" s="3">
        <f>SUMIFS('Alle ruter'!$AC$3:$AC$98,'Alle ruter'!$Z$3:$Z$98,"H2",'Alle ruter'!$I$3:$I$98,$A81,'Alle ruter'!$AJ$3:$AJ$98,"&lt;="&amp;J$2)/2+SUMIFS('Alle ruter'!$AC$3:$AC$98,'Alle ruter'!$Z$3:$Z$98,"H2",'Alle ruter'!$J$3:$J$98,$A81,'Alle ruter'!$AJ$3:$AJ$98,"&lt;="&amp;J$2)/2</f>
        <v>0</v>
      </c>
      <c r="K81" s="3">
        <f>SUMIFS('Alle ruter'!$AC$3:$AC$98,'Alle ruter'!$Z$3:$Z$98,"H2",'Alle ruter'!$I$3:$I$98,$A81,'Alle ruter'!$AJ$3:$AJ$98,"&lt;="&amp;K$2)/2+SUMIFS('Alle ruter'!$AC$3:$AC$98,'Alle ruter'!$Z$3:$Z$98,"H2",'Alle ruter'!$J$3:$J$98,$A81,'Alle ruter'!$AJ$3:$AJ$98,"&lt;="&amp;K$2)/2</f>
        <v>0</v>
      </c>
      <c r="L81" s="3">
        <f>SUMIFS('Alle ruter'!$AC$3:$AC$98,'Alle ruter'!$Z$3:$Z$98,"H2",'Alle ruter'!$I$3:$I$98,$A81,'Alle ruter'!$AJ$3:$AJ$98,"&lt;="&amp;L$2)/2+SUMIFS('Alle ruter'!$AC$3:$AC$98,'Alle ruter'!$Z$3:$Z$98,"H2",'Alle ruter'!$J$3:$J$98,$A81,'Alle ruter'!$AJ$3:$AJ$98,"&lt;="&amp;L$2)/2</f>
        <v>0</v>
      </c>
      <c r="M81" s="3">
        <f>SUMIFS('Alle ruter'!$AC$3:$AC$98,'Alle ruter'!$Z$3:$Z$98,"H2",'Alle ruter'!$I$3:$I$98,$A81,'Alle ruter'!$AJ$3:$AJ$98,"&lt;="&amp;M$2)/2+SUMIFS('Alle ruter'!$AC$3:$AC$98,'Alle ruter'!$Z$3:$Z$98,"H2",'Alle ruter'!$J$3:$J$98,$A81,'Alle ruter'!$AJ$3:$AJ$98,"&lt;="&amp;M$2)/2</f>
        <v>0</v>
      </c>
      <c r="N81" s="3">
        <f>SUMIFS('Alle ruter'!$AC$3:$AC$98,'Alle ruter'!$Z$3:$Z$98,"H2",'Alle ruter'!$I$3:$I$98,$A81,'Alle ruter'!$AJ$3:$AJ$98,"&lt;="&amp;N$2)/2+SUMIFS('Alle ruter'!$AC$3:$AC$98,'Alle ruter'!$Z$3:$Z$98,"H2",'Alle ruter'!$J$3:$J$98,$A81,'Alle ruter'!$AJ$3:$AJ$98,"&lt;="&amp;N$2)/2</f>
        <v>0</v>
      </c>
      <c r="O81" s="3">
        <f>SUMIFS('Alle ruter'!$AC$3:$AC$98,'Alle ruter'!$Z$3:$Z$98,"H2",'Alle ruter'!$I$3:$I$98,$A81,'Alle ruter'!$AJ$3:$AJ$98,"&lt;="&amp;O$2)/2+SUMIFS('Alle ruter'!$AC$3:$AC$98,'Alle ruter'!$Z$3:$Z$98,"H2",'Alle ruter'!$J$3:$J$98,$A81,'Alle ruter'!$AJ$3:$AJ$98,"&lt;="&amp;O$2)/2</f>
        <v>0</v>
      </c>
      <c r="P81" s="3">
        <f>SUMIFS('Alle ruter'!$AC$3:$AC$98,'Alle ruter'!$Z$3:$Z$98,"H2",'Alle ruter'!$I$3:$I$98,$A81,'Alle ruter'!$AJ$3:$AJ$98,"&lt;="&amp;P$2)/2+SUMIFS('Alle ruter'!$AC$3:$AC$98,'Alle ruter'!$Z$3:$Z$98,"H2",'Alle ruter'!$J$3:$J$98,$A81,'Alle ruter'!$AJ$3:$AJ$98,"&lt;="&amp;P$2)/2</f>
        <v>0</v>
      </c>
      <c r="Q81" s="3">
        <f>SUMIFS('Alle ruter'!$AC$3:$AC$98,'Alle ruter'!$Z$3:$Z$98,"H2",'Alle ruter'!$I$3:$I$98,$A81,'Alle ruter'!$AJ$3:$AJ$98,"&lt;="&amp;Q$2)/2+SUMIFS('Alle ruter'!$AC$3:$AC$98,'Alle ruter'!$Z$3:$Z$98,"H2",'Alle ruter'!$J$3:$J$98,$A81,'Alle ruter'!$AJ$3:$AJ$98,"&lt;="&amp;Q$2)/2</f>
        <v>0</v>
      </c>
      <c r="R81" s="3">
        <f>SUMIFS('Alle ruter'!$AC$3:$AC$98,'Alle ruter'!$Z$3:$Z$98,"H2",'Alle ruter'!$I$3:$I$98,$A81,'Alle ruter'!$AJ$3:$AJ$98,"&lt;="&amp;R$2)/2+SUMIFS('Alle ruter'!$AC$3:$AC$98,'Alle ruter'!$Z$3:$Z$98,"H2",'Alle ruter'!$J$3:$J$98,$A81,'Alle ruter'!$AJ$3:$AJ$98,"&lt;="&amp;R$2)/2</f>
        <v>0</v>
      </c>
      <c r="S81" s="3">
        <f>SUMIFS('Alle ruter'!$AC$3:$AC$98,'Alle ruter'!$Z$3:$Z$98,"H2",'Alle ruter'!$I$3:$I$98,$A81,'Alle ruter'!$AJ$3:$AJ$98,"&lt;="&amp;S$2)/2+SUMIFS('Alle ruter'!$AC$3:$AC$98,'Alle ruter'!$Z$3:$Z$98,"H2",'Alle ruter'!$J$3:$J$98,$A81,'Alle ruter'!$AJ$3:$AJ$98,"&lt;="&amp;S$2)/2</f>
        <v>0</v>
      </c>
      <c r="T81" s="3"/>
    </row>
    <row r="82" spans="1:20" x14ac:dyDescent="0.3">
      <c r="A82" t="s">
        <v>184</v>
      </c>
      <c r="B82" t="s">
        <v>15</v>
      </c>
      <c r="C82" s="3">
        <f>COUNTIF('Alle ruter'!$I$3:$I$98,'H2 pr endeplass'!A82)+COUNTIFS('Alle ruter'!$J$3:$J$98,'H2 pr endeplass'!A82,'Alle ruter'!$K$3:$K$98,"Nei")</f>
        <v>1</v>
      </c>
      <c r="D82" s="3">
        <f>COUNTIFS('Alle ruter'!$I$3:$I$98,'H2 pr endeplass'!A82,'Alle ruter'!$Z$3:$Z$98,"H2")+COUNTIFS('Alle ruter'!$J$3:$J$98,'H2 pr endeplass'!A82,'Alle ruter'!$K$3:$K$98,"Nei",'Alle ruter'!$Z$3:$Z$98,"H2")</f>
        <v>0</v>
      </c>
      <c r="E82">
        <v>0</v>
      </c>
      <c r="F82" s="3">
        <f>SUMIFS('Alle ruter'!$AC$3:$AC$98,'Alle ruter'!$Z$3:$Z$98,"H2",'Alle ruter'!$I$3:$I$98,$A82,'Alle ruter'!$AJ$3:$AJ$98,"&lt;="&amp;F$2)/2+SUMIFS('Alle ruter'!$AC$3:$AC$98,'Alle ruter'!$Z$3:$Z$98,"H2",'Alle ruter'!$J$3:$J$98,$A82,'Alle ruter'!$AJ$3:$AJ$98,"&lt;="&amp;F$2)/2</f>
        <v>0</v>
      </c>
      <c r="G82" s="3">
        <f>SUMIFS('Alle ruter'!$AC$3:$AC$98,'Alle ruter'!$Z$3:$Z$98,"H2",'Alle ruter'!$I$3:$I$98,$A82,'Alle ruter'!$AJ$3:$AJ$98,"&lt;="&amp;G$2)/2+SUMIFS('Alle ruter'!$AC$3:$AC$98,'Alle ruter'!$Z$3:$Z$98,"H2",'Alle ruter'!$J$3:$J$98,$A82,'Alle ruter'!$AJ$3:$AJ$98,"&lt;="&amp;G$2)/2</f>
        <v>0</v>
      </c>
      <c r="H82" s="3">
        <f>SUMIFS('Alle ruter'!$AC$3:$AC$98,'Alle ruter'!$Z$3:$Z$98,"H2",'Alle ruter'!$I$3:$I$98,$A82,'Alle ruter'!$AJ$3:$AJ$98,"&lt;="&amp;H$2)/2+SUMIFS('Alle ruter'!$AC$3:$AC$98,'Alle ruter'!$Z$3:$Z$98,"H2",'Alle ruter'!$J$3:$J$98,$A82,'Alle ruter'!$AJ$3:$AJ$98,"&lt;="&amp;H$2)/2</f>
        <v>0</v>
      </c>
      <c r="I82" s="3">
        <f>SUMIFS('Alle ruter'!$AC$3:$AC$98,'Alle ruter'!$Z$3:$Z$98,"H2",'Alle ruter'!$I$3:$I$98,$A82,'Alle ruter'!$AJ$3:$AJ$98,"&lt;="&amp;I$2)/2+SUMIFS('Alle ruter'!$AC$3:$AC$98,'Alle ruter'!$Z$3:$Z$98,"H2",'Alle ruter'!$J$3:$J$98,$A82,'Alle ruter'!$AJ$3:$AJ$98,"&lt;="&amp;I$2)/2</f>
        <v>0</v>
      </c>
      <c r="J82" s="3">
        <f>SUMIFS('Alle ruter'!$AC$3:$AC$98,'Alle ruter'!$Z$3:$Z$98,"H2",'Alle ruter'!$I$3:$I$98,$A82,'Alle ruter'!$AJ$3:$AJ$98,"&lt;="&amp;J$2)/2+SUMIFS('Alle ruter'!$AC$3:$AC$98,'Alle ruter'!$Z$3:$Z$98,"H2",'Alle ruter'!$J$3:$J$98,$A82,'Alle ruter'!$AJ$3:$AJ$98,"&lt;="&amp;J$2)/2</f>
        <v>0</v>
      </c>
      <c r="K82" s="3">
        <f>SUMIFS('Alle ruter'!$AC$3:$AC$98,'Alle ruter'!$Z$3:$Z$98,"H2",'Alle ruter'!$I$3:$I$98,$A82,'Alle ruter'!$AJ$3:$AJ$98,"&lt;="&amp;K$2)/2+SUMIFS('Alle ruter'!$AC$3:$AC$98,'Alle ruter'!$Z$3:$Z$98,"H2",'Alle ruter'!$J$3:$J$98,$A82,'Alle ruter'!$AJ$3:$AJ$98,"&lt;="&amp;K$2)/2</f>
        <v>0</v>
      </c>
      <c r="L82" s="3">
        <f>SUMIFS('Alle ruter'!$AC$3:$AC$98,'Alle ruter'!$Z$3:$Z$98,"H2",'Alle ruter'!$I$3:$I$98,$A82,'Alle ruter'!$AJ$3:$AJ$98,"&lt;="&amp;L$2)/2+SUMIFS('Alle ruter'!$AC$3:$AC$98,'Alle ruter'!$Z$3:$Z$98,"H2",'Alle ruter'!$J$3:$J$98,$A82,'Alle ruter'!$AJ$3:$AJ$98,"&lt;="&amp;L$2)/2</f>
        <v>0</v>
      </c>
      <c r="M82" s="3">
        <f>SUMIFS('Alle ruter'!$AC$3:$AC$98,'Alle ruter'!$Z$3:$Z$98,"H2",'Alle ruter'!$I$3:$I$98,$A82,'Alle ruter'!$AJ$3:$AJ$98,"&lt;="&amp;M$2)/2+SUMIFS('Alle ruter'!$AC$3:$AC$98,'Alle ruter'!$Z$3:$Z$98,"H2",'Alle ruter'!$J$3:$J$98,$A82,'Alle ruter'!$AJ$3:$AJ$98,"&lt;="&amp;M$2)/2</f>
        <v>0</v>
      </c>
      <c r="N82" s="3">
        <f>SUMIFS('Alle ruter'!$AC$3:$AC$98,'Alle ruter'!$Z$3:$Z$98,"H2",'Alle ruter'!$I$3:$I$98,$A82,'Alle ruter'!$AJ$3:$AJ$98,"&lt;="&amp;N$2)/2+SUMIFS('Alle ruter'!$AC$3:$AC$98,'Alle ruter'!$Z$3:$Z$98,"H2",'Alle ruter'!$J$3:$J$98,$A82,'Alle ruter'!$AJ$3:$AJ$98,"&lt;="&amp;N$2)/2</f>
        <v>0</v>
      </c>
      <c r="O82" s="3">
        <f>SUMIFS('Alle ruter'!$AC$3:$AC$98,'Alle ruter'!$Z$3:$Z$98,"H2",'Alle ruter'!$I$3:$I$98,$A82,'Alle ruter'!$AJ$3:$AJ$98,"&lt;="&amp;O$2)/2+SUMIFS('Alle ruter'!$AC$3:$AC$98,'Alle ruter'!$Z$3:$Z$98,"H2",'Alle ruter'!$J$3:$J$98,$A82,'Alle ruter'!$AJ$3:$AJ$98,"&lt;="&amp;O$2)/2</f>
        <v>0</v>
      </c>
      <c r="P82" s="3">
        <f>SUMIFS('Alle ruter'!$AC$3:$AC$98,'Alle ruter'!$Z$3:$Z$98,"H2",'Alle ruter'!$I$3:$I$98,$A82,'Alle ruter'!$AJ$3:$AJ$98,"&lt;="&amp;P$2)/2+SUMIFS('Alle ruter'!$AC$3:$AC$98,'Alle ruter'!$Z$3:$Z$98,"H2",'Alle ruter'!$J$3:$J$98,$A82,'Alle ruter'!$AJ$3:$AJ$98,"&lt;="&amp;P$2)/2</f>
        <v>0</v>
      </c>
      <c r="Q82" s="3">
        <f>SUMIFS('Alle ruter'!$AC$3:$AC$98,'Alle ruter'!$Z$3:$Z$98,"H2",'Alle ruter'!$I$3:$I$98,$A82,'Alle ruter'!$AJ$3:$AJ$98,"&lt;="&amp;Q$2)/2+SUMIFS('Alle ruter'!$AC$3:$AC$98,'Alle ruter'!$Z$3:$Z$98,"H2",'Alle ruter'!$J$3:$J$98,$A82,'Alle ruter'!$AJ$3:$AJ$98,"&lt;="&amp;Q$2)/2</f>
        <v>0</v>
      </c>
      <c r="R82" s="3">
        <f>SUMIFS('Alle ruter'!$AC$3:$AC$98,'Alle ruter'!$Z$3:$Z$98,"H2",'Alle ruter'!$I$3:$I$98,$A82,'Alle ruter'!$AJ$3:$AJ$98,"&lt;="&amp;R$2)/2+SUMIFS('Alle ruter'!$AC$3:$AC$98,'Alle ruter'!$Z$3:$Z$98,"H2",'Alle ruter'!$J$3:$J$98,$A82,'Alle ruter'!$AJ$3:$AJ$98,"&lt;="&amp;R$2)/2</f>
        <v>0</v>
      </c>
      <c r="S82" s="3">
        <f>SUMIFS('Alle ruter'!$AC$3:$AC$98,'Alle ruter'!$Z$3:$Z$98,"H2",'Alle ruter'!$I$3:$I$98,$A82,'Alle ruter'!$AJ$3:$AJ$98,"&lt;="&amp;S$2)/2+SUMIFS('Alle ruter'!$AC$3:$AC$98,'Alle ruter'!$Z$3:$Z$98,"H2",'Alle ruter'!$J$3:$J$98,$A82,'Alle ruter'!$AJ$3:$AJ$98,"&lt;="&amp;S$2)/2</f>
        <v>0</v>
      </c>
      <c r="T82" s="3"/>
    </row>
    <row r="83" spans="1:20" x14ac:dyDescent="0.3">
      <c r="A83" t="s">
        <v>185</v>
      </c>
      <c r="B83" t="s">
        <v>15</v>
      </c>
      <c r="C83" s="3">
        <f>COUNTIF('Alle ruter'!$I$3:$I$98,'H2 pr endeplass'!A83)+COUNTIFS('Alle ruter'!$J$3:$J$98,'H2 pr endeplass'!A83,'Alle ruter'!$K$3:$K$98,"Nei")</f>
        <v>1</v>
      </c>
      <c r="D83" s="3">
        <f>COUNTIFS('Alle ruter'!$I$3:$I$98,'H2 pr endeplass'!A83,'Alle ruter'!$Z$3:$Z$98,"H2")+COUNTIFS('Alle ruter'!$J$3:$J$98,'H2 pr endeplass'!A83,'Alle ruter'!$K$3:$K$98,"Nei",'Alle ruter'!$Z$3:$Z$98,"H2")</f>
        <v>0</v>
      </c>
      <c r="E83">
        <v>0</v>
      </c>
      <c r="F83" s="3">
        <f>SUMIFS('Alle ruter'!$AC$3:$AC$98,'Alle ruter'!$Z$3:$Z$98,"H2",'Alle ruter'!$I$3:$I$98,$A83,'Alle ruter'!$AJ$3:$AJ$98,"&lt;="&amp;F$2)/2+SUMIFS('Alle ruter'!$AC$3:$AC$98,'Alle ruter'!$Z$3:$Z$98,"H2",'Alle ruter'!$J$3:$J$98,$A83,'Alle ruter'!$AJ$3:$AJ$98,"&lt;="&amp;F$2)/2</f>
        <v>0</v>
      </c>
      <c r="G83" s="3">
        <f>SUMIFS('Alle ruter'!$AC$3:$AC$98,'Alle ruter'!$Z$3:$Z$98,"H2",'Alle ruter'!$I$3:$I$98,$A83,'Alle ruter'!$AJ$3:$AJ$98,"&lt;="&amp;G$2)/2+SUMIFS('Alle ruter'!$AC$3:$AC$98,'Alle ruter'!$Z$3:$Z$98,"H2",'Alle ruter'!$J$3:$J$98,$A83,'Alle ruter'!$AJ$3:$AJ$98,"&lt;="&amp;G$2)/2</f>
        <v>0</v>
      </c>
      <c r="H83" s="3">
        <f>SUMIFS('Alle ruter'!$AC$3:$AC$98,'Alle ruter'!$Z$3:$Z$98,"H2",'Alle ruter'!$I$3:$I$98,$A83,'Alle ruter'!$AJ$3:$AJ$98,"&lt;="&amp;H$2)/2+SUMIFS('Alle ruter'!$AC$3:$AC$98,'Alle ruter'!$Z$3:$Z$98,"H2",'Alle ruter'!$J$3:$J$98,$A83,'Alle ruter'!$AJ$3:$AJ$98,"&lt;="&amp;H$2)/2</f>
        <v>0</v>
      </c>
      <c r="I83" s="3">
        <f>SUMIFS('Alle ruter'!$AC$3:$AC$98,'Alle ruter'!$Z$3:$Z$98,"H2",'Alle ruter'!$I$3:$I$98,$A83,'Alle ruter'!$AJ$3:$AJ$98,"&lt;="&amp;I$2)/2+SUMIFS('Alle ruter'!$AC$3:$AC$98,'Alle ruter'!$Z$3:$Z$98,"H2",'Alle ruter'!$J$3:$J$98,$A83,'Alle ruter'!$AJ$3:$AJ$98,"&lt;="&amp;I$2)/2</f>
        <v>0</v>
      </c>
      <c r="J83" s="3">
        <f>SUMIFS('Alle ruter'!$AC$3:$AC$98,'Alle ruter'!$Z$3:$Z$98,"H2",'Alle ruter'!$I$3:$I$98,$A83,'Alle ruter'!$AJ$3:$AJ$98,"&lt;="&amp;J$2)/2+SUMIFS('Alle ruter'!$AC$3:$AC$98,'Alle ruter'!$Z$3:$Z$98,"H2",'Alle ruter'!$J$3:$J$98,$A83,'Alle ruter'!$AJ$3:$AJ$98,"&lt;="&amp;J$2)/2</f>
        <v>0</v>
      </c>
      <c r="K83" s="3">
        <f>SUMIFS('Alle ruter'!$AC$3:$AC$98,'Alle ruter'!$Z$3:$Z$98,"H2",'Alle ruter'!$I$3:$I$98,$A83,'Alle ruter'!$AJ$3:$AJ$98,"&lt;="&amp;K$2)/2+SUMIFS('Alle ruter'!$AC$3:$AC$98,'Alle ruter'!$Z$3:$Z$98,"H2",'Alle ruter'!$J$3:$J$98,$A83,'Alle ruter'!$AJ$3:$AJ$98,"&lt;="&amp;K$2)/2</f>
        <v>0</v>
      </c>
      <c r="L83" s="3">
        <f>SUMIFS('Alle ruter'!$AC$3:$AC$98,'Alle ruter'!$Z$3:$Z$98,"H2",'Alle ruter'!$I$3:$I$98,$A83,'Alle ruter'!$AJ$3:$AJ$98,"&lt;="&amp;L$2)/2+SUMIFS('Alle ruter'!$AC$3:$AC$98,'Alle ruter'!$Z$3:$Z$98,"H2",'Alle ruter'!$J$3:$J$98,$A83,'Alle ruter'!$AJ$3:$AJ$98,"&lt;="&amp;L$2)/2</f>
        <v>0</v>
      </c>
      <c r="M83" s="3">
        <f>SUMIFS('Alle ruter'!$AC$3:$AC$98,'Alle ruter'!$Z$3:$Z$98,"H2",'Alle ruter'!$I$3:$I$98,$A83,'Alle ruter'!$AJ$3:$AJ$98,"&lt;="&amp;M$2)/2+SUMIFS('Alle ruter'!$AC$3:$AC$98,'Alle ruter'!$Z$3:$Z$98,"H2",'Alle ruter'!$J$3:$J$98,$A83,'Alle ruter'!$AJ$3:$AJ$98,"&lt;="&amp;M$2)/2</f>
        <v>0</v>
      </c>
      <c r="N83" s="3">
        <f>SUMIFS('Alle ruter'!$AC$3:$AC$98,'Alle ruter'!$Z$3:$Z$98,"H2",'Alle ruter'!$I$3:$I$98,$A83,'Alle ruter'!$AJ$3:$AJ$98,"&lt;="&amp;N$2)/2+SUMIFS('Alle ruter'!$AC$3:$AC$98,'Alle ruter'!$Z$3:$Z$98,"H2",'Alle ruter'!$J$3:$J$98,$A83,'Alle ruter'!$AJ$3:$AJ$98,"&lt;="&amp;N$2)/2</f>
        <v>0</v>
      </c>
      <c r="O83" s="3">
        <f>SUMIFS('Alle ruter'!$AC$3:$AC$98,'Alle ruter'!$Z$3:$Z$98,"H2",'Alle ruter'!$I$3:$I$98,$A83,'Alle ruter'!$AJ$3:$AJ$98,"&lt;="&amp;O$2)/2+SUMIFS('Alle ruter'!$AC$3:$AC$98,'Alle ruter'!$Z$3:$Z$98,"H2",'Alle ruter'!$J$3:$J$98,$A83,'Alle ruter'!$AJ$3:$AJ$98,"&lt;="&amp;O$2)/2</f>
        <v>0</v>
      </c>
      <c r="P83" s="3">
        <f>SUMIFS('Alle ruter'!$AC$3:$AC$98,'Alle ruter'!$Z$3:$Z$98,"H2",'Alle ruter'!$I$3:$I$98,$A83,'Alle ruter'!$AJ$3:$AJ$98,"&lt;="&amp;P$2)/2+SUMIFS('Alle ruter'!$AC$3:$AC$98,'Alle ruter'!$Z$3:$Z$98,"H2",'Alle ruter'!$J$3:$J$98,$A83,'Alle ruter'!$AJ$3:$AJ$98,"&lt;="&amp;P$2)/2</f>
        <v>0</v>
      </c>
      <c r="Q83" s="3">
        <f>SUMIFS('Alle ruter'!$AC$3:$AC$98,'Alle ruter'!$Z$3:$Z$98,"H2",'Alle ruter'!$I$3:$I$98,$A83,'Alle ruter'!$AJ$3:$AJ$98,"&lt;="&amp;Q$2)/2+SUMIFS('Alle ruter'!$AC$3:$AC$98,'Alle ruter'!$Z$3:$Z$98,"H2",'Alle ruter'!$J$3:$J$98,$A83,'Alle ruter'!$AJ$3:$AJ$98,"&lt;="&amp;Q$2)/2</f>
        <v>0</v>
      </c>
      <c r="R83" s="3">
        <f>SUMIFS('Alle ruter'!$AC$3:$AC$98,'Alle ruter'!$Z$3:$Z$98,"H2",'Alle ruter'!$I$3:$I$98,$A83,'Alle ruter'!$AJ$3:$AJ$98,"&lt;="&amp;R$2)/2+SUMIFS('Alle ruter'!$AC$3:$AC$98,'Alle ruter'!$Z$3:$Z$98,"H2",'Alle ruter'!$J$3:$J$98,$A83,'Alle ruter'!$AJ$3:$AJ$98,"&lt;="&amp;R$2)/2</f>
        <v>0</v>
      </c>
      <c r="S83" s="3">
        <f>SUMIFS('Alle ruter'!$AC$3:$AC$98,'Alle ruter'!$Z$3:$Z$98,"H2",'Alle ruter'!$I$3:$I$98,$A83,'Alle ruter'!$AJ$3:$AJ$98,"&lt;="&amp;S$2)/2+SUMIFS('Alle ruter'!$AC$3:$AC$98,'Alle ruter'!$Z$3:$Z$98,"H2",'Alle ruter'!$J$3:$J$98,$A83,'Alle ruter'!$AJ$3:$AJ$98,"&lt;="&amp;S$2)/2</f>
        <v>0</v>
      </c>
      <c r="T83" s="3"/>
    </row>
    <row r="84" spans="1:20" x14ac:dyDescent="0.3">
      <c r="A84" t="s">
        <v>182</v>
      </c>
      <c r="B84" t="s">
        <v>388</v>
      </c>
      <c r="C84" s="3">
        <f>COUNTIF('Alle ruter'!$I$3:$I$98,'H2 pr endeplass'!A84)+COUNTIFS('Alle ruter'!$J$3:$J$98,'H2 pr endeplass'!A84,'Alle ruter'!$K$3:$K$98,"Nei")</f>
        <v>1</v>
      </c>
      <c r="D84" s="3">
        <f>COUNTIFS('Alle ruter'!$I$3:$I$98,'H2 pr endeplass'!A84,'Alle ruter'!$Z$3:$Z$98,"H2")+COUNTIFS('Alle ruter'!$J$3:$J$98,'H2 pr endeplass'!A84,'Alle ruter'!$K$3:$K$98,"Nei",'Alle ruter'!$Z$3:$Z$98,"H2")</f>
        <v>0</v>
      </c>
      <c r="E84">
        <v>0</v>
      </c>
      <c r="F84" s="3">
        <f>SUMIFS('Alle ruter'!$AC$3:$AC$98,'Alle ruter'!$Z$3:$Z$98,"H2",'Alle ruter'!$I$3:$I$98,$A84,'Alle ruter'!$AJ$3:$AJ$98,"&lt;="&amp;F$2)/2+SUMIFS('Alle ruter'!$AC$3:$AC$98,'Alle ruter'!$Z$3:$Z$98,"H2",'Alle ruter'!$J$3:$J$98,$A84,'Alle ruter'!$AJ$3:$AJ$98,"&lt;="&amp;F$2)/2</f>
        <v>0</v>
      </c>
      <c r="G84" s="3">
        <f>SUMIFS('Alle ruter'!$AC$3:$AC$98,'Alle ruter'!$Z$3:$Z$98,"H2",'Alle ruter'!$I$3:$I$98,$A84,'Alle ruter'!$AJ$3:$AJ$98,"&lt;="&amp;G$2)/2+SUMIFS('Alle ruter'!$AC$3:$AC$98,'Alle ruter'!$Z$3:$Z$98,"H2",'Alle ruter'!$J$3:$J$98,$A84,'Alle ruter'!$AJ$3:$AJ$98,"&lt;="&amp;G$2)/2</f>
        <v>0</v>
      </c>
      <c r="H84" s="3">
        <f>SUMIFS('Alle ruter'!$AC$3:$AC$98,'Alle ruter'!$Z$3:$Z$98,"H2",'Alle ruter'!$I$3:$I$98,$A84,'Alle ruter'!$AJ$3:$AJ$98,"&lt;="&amp;H$2)/2+SUMIFS('Alle ruter'!$AC$3:$AC$98,'Alle ruter'!$Z$3:$Z$98,"H2",'Alle ruter'!$J$3:$J$98,$A84,'Alle ruter'!$AJ$3:$AJ$98,"&lt;="&amp;H$2)/2</f>
        <v>0</v>
      </c>
      <c r="I84" s="3">
        <f>SUMIFS('Alle ruter'!$AC$3:$AC$98,'Alle ruter'!$Z$3:$Z$98,"H2",'Alle ruter'!$I$3:$I$98,$A84,'Alle ruter'!$AJ$3:$AJ$98,"&lt;="&amp;I$2)/2+SUMIFS('Alle ruter'!$AC$3:$AC$98,'Alle ruter'!$Z$3:$Z$98,"H2",'Alle ruter'!$J$3:$J$98,$A84,'Alle ruter'!$AJ$3:$AJ$98,"&lt;="&amp;I$2)/2</f>
        <v>0</v>
      </c>
      <c r="J84" s="3">
        <f>SUMIFS('Alle ruter'!$AC$3:$AC$98,'Alle ruter'!$Z$3:$Z$98,"H2",'Alle ruter'!$I$3:$I$98,$A84,'Alle ruter'!$AJ$3:$AJ$98,"&lt;="&amp;J$2)/2+SUMIFS('Alle ruter'!$AC$3:$AC$98,'Alle ruter'!$Z$3:$Z$98,"H2",'Alle ruter'!$J$3:$J$98,$A84,'Alle ruter'!$AJ$3:$AJ$98,"&lt;="&amp;J$2)/2</f>
        <v>0</v>
      </c>
      <c r="K84" s="3">
        <f>SUMIFS('Alle ruter'!$AC$3:$AC$98,'Alle ruter'!$Z$3:$Z$98,"H2",'Alle ruter'!$I$3:$I$98,$A84,'Alle ruter'!$AJ$3:$AJ$98,"&lt;="&amp;K$2)/2+SUMIFS('Alle ruter'!$AC$3:$AC$98,'Alle ruter'!$Z$3:$Z$98,"H2",'Alle ruter'!$J$3:$J$98,$A84,'Alle ruter'!$AJ$3:$AJ$98,"&lt;="&amp;K$2)/2</f>
        <v>0</v>
      </c>
      <c r="L84" s="3">
        <f>SUMIFS('Alle ruter'!$AC$3:$AC$98,'Alle ruter'!$Z$3:$Z$98,"H2",'Alle ruter'!$I$3:$I$98,$A84,'Alle ruter'!$AJ$3:$AJ$98,"&lt;="&amp;L$2)/2+SUMIFS('Alle ruter'!$AC$3:$AC$98,'Alle ruter'!$Z$3:$Z$98,"H2",'Alle ruter'!$J$3:$J$98,$A84,'Alle ruter'!$AJ$3:$AJ$98,"&lt;="&amp;L$2)/2</f>
        <v>0</v>
      </c>
      <c r="M84" s="3">
        <f>SUMIFS('Alle ruter'!$AC$3:$AC$98,'Alle ruter'!$Z$3:$Z$98,"H2",'Alle ruter'!$I$3:$I$98,$A84,'Alle ruter'!$AJ$3:$AJ$98,"&lt;="&amp;M$2)/2+SUMIFS('Alle ruter'!$AC$3:$AC$98,'Alle ruter'!$Z$3:$Z$98,"H2",'Alle ruter'!$J$3:$J$98,$A84,'Alle ruter'!$AJ$3:$AJ$98,"&lt;="&amp;M$2)/2</f>
        <v>0</v>
      </c>
      <c r="N84" s="3">
        <f>SUMIFS('Alle ruter'!$AC$3:$AC$98,'Alle ruter'!$Z$3:$Z$98,"H2",'Alle ruter'!$I$3:$I$98,$A84,'Alle ruter'!$AJ$3:$AJ$98,"&lt;="&amp;N$2)/2+SUMIFS('Alle ruter'!$AC$3:$AC$98,'Alle ruter'!$Z$3:$Z$98,"H2",'Alle ruter'!$J$3:$J$98,$A84,'Alle ruter'!$AJ$3:$AJ$98,"&lt;="&amp;N$2)/2</f>
        <v>0</v>
      </c>
      <c r="O84" s="3">
        <f>SUMIFS('Alle ruter'!$AC$3:$AC$98,'Alle ruter'!$Z$3:$Z$98,"H2",'Alle ruter'!$I$3:$I$98,$A84,'Alle ruter'!$AJ$3:$AJ$98,"&lt;="&amp;O$2)/2+SUMIFS('Alle ruter'!$AC$3:$AC$98,'Alle ruter'!$Z$3:$Z$98,"H2",'Alle ruter'!$J$3:$J$98,$A84,'Alle ruter'!$AJ$3:$AJ$98,"&lt;="&amp;O$2)/2</f>
        <v>0</v>
      </c>
      <c r="P84" s="3">
        <f>SUMIFS('Alle ruter'!$AC$3:$AC$98,'Alle ruter'!$Z$3:$Z$98,"H2",'Alle ruter'!$I$3:$I$98,$A84,'Alle ruter'!$AJ$3:$AJ$98,"&lt;="&amp;P$2)/2+SUMIFS('Alle ruter'!$AC$3:$AC$98,'Alle ruter'!$Z$3:$Z$98,"H2",'Alle ruter'!$J$3:$J$98,$A84,'Alle ruter'!$AJ$3:$AJ$98,"&lt;="&amp;P$2)/2</f>
        <v>0</v>
      </c>
      <c r="Q84" s="3">
        <f>SUMIFS('Alle ruter'!$AC$3:$AC$98,'Alle ruter'!$Z$3:$Z$98,"H2",'Alle ruter'!$I$3:$I$98,$A84,'Alle ruter'!$AJ$3:$AJ$98,"&lt;="&amp;Q$2)/2+SUMIFS('Alle ruter'!$AC$3:$AC$98,'Alle ruter'!$Z$3:$Z$98,"H2",'Alle ruter'!$J$3:$J$98,$A84,'Alle ruter'!$AJ$3:$AJ$98,"&lt;="&amp;Q$2)/2</f>
        <v>0</v>
      </c>
      <c r="R84" s="3">
        <f>SUMIFS('Alle ruter'!$AC$3:$AC$98,'Alle ruter'!$Z$3:$Z$98,"H2",'Alle ruter'!$I$3:$I$98,$A84,'Alle ruter'!$AJ$3:$AJ$98,"&lt;="&amp;R$2)/2+SUMIFS('Alle ruter'!$AC$3:$AC$98,'Alle ruter'!$Z$3:$Z$98,"H2",'Alle ruter'!$J$3:$J$98,$A84,'Alle ruter'!$AJ$3:$AJ$98,"&lt;="&amp;R$2)/2</f>
        <v>0</v>
      </c>
      <c r="S84" s="3">
        <f>SUMIFS('Alle ruter'!$AC$3:$AC$98,'Alle ruter'!$Z$3:$Z$98,"H2",'Alle ruter'!$I$3:$I$98,$A84,'Alle ruter'!$AJ$3:$AJ$98,"&lt;="&amp;S$2)/2+SUMIFS('Alle ruter'!$AC$3:$AC$98,'Alle ruter'!$Z$3:$Z$98,"H2",'Alle ruter'!$J$3:$J$98,$A84,'Alle ruter'!$AJ$3:$AJ$98,"&lt;="&amp;S$2)/2</f>
        <v>0</v>
      </c>
      <c r="T84" s="3"/>
    </row>
    <row r="85" spans="1:20" x14ac:dyDescent="0.3">
      <c r="A85" t="s">
        <v>183</v>
      </c>
      <c r="B85" t="s">
        <v>388</v>
      </c>
      <c r="C85" s="3">
        <f>COUNTIF('Alle ruter'!$I$3:$I$98,'H2 pr endeplass'!A85)+COUNTIFS('Alle ruter'!$J$3:$J$98,'H2 pr endeplass'!A85,'Alle ruter'!$K$3:$K$98,"Nei")</f>
        <v>1</v>
      </c>
      <c r="D85" s="3">
        <f>COUNTIFS('Alle ruter'!$I$3:$I$98,'H2 pr endeplass'!A85,'Alle ruter'!$Z$3:$Z$98,"H2")+COUNTIFS('Alle ruter'!$J$3:$J$98,'H2 pr endeplass'!A85,'Alle ruter'!$K$3:$K$98,"Nei",'Alle ruter'!$Z$3:$Z$98,"H2")</f>
        <v>0</v>
      </c>
      <c r="E85">
        <v>0</v>
      </c>
      <c r="F85" s="3">
        <f>SUMIFS('Alle ruter'!$AC$3:$AC$98,'Alle ruter'!$Z$3:$Z$98,"H2",'Alle ruter'!$I$3:$I$98,$A85,'Alle ruter'!$AJ$3:$AJ$98,"&lt;="&amp;F$2)/2+SUMIFS('Alle ruter'!$AC$3:$AC$98,'Alle ruter'!$Z$3:$Z$98,"H2",'Alle ruter'!$J$3:$J$98,$A85,'Alle ruter'!$AJ$3:$AJ$98,"&lt;="&amp;F$2)/2</f>
        <v>0</v>
      </c>
      <c r="G85" s="3">
        <f>SUMIFS('Alle ruter'!$AC$3:$AC$98,'Alle ruter'!$Z$3:$Z$98,"H2",'Alle ruter'!$I$3:$I$98,$A85,'Alle ruter'!$AJ$3:$AJ$98,"&lt;="&amp;G$2)/2+SUMIFS('Alle ruter'!$AC$3:$AC$98,'Alle ruter'!$Z$3:$Z$98,"H2",'Alle ruter'!$J$3:$J$98,$A85,'Alle ruter'!$AJ$3:$AJ$98,"&lt;="&amp;G$2)/2</f>
        <v>0</v>
      </c>
      <c r="H85" s="3">
        <f>SUMIFS('Alle ruter'!$AC$3:$AC$98,'Alle ruter'!$Z$3:$Z$98,"H2",'Alle ruter'!$I$3:$I$98,$A85,'Alle ruter'!$AJ$3:$AJ$98,"&lt;="&amp;H$2)/2+SUMIFS('Alle ruter'!$AC$3:$AC$98,'Alle ruter'!$Z$3:$Z$98,"H2",'Alle ruter'!$J$3:$J$98,$A85,'Alle ruter'!$AJ$3:$AJ$98,"&lt;="&amp;H$2)/2</f>
        <v>0</v>
      </c>
      <c r="I85" s="3">
        <f>SUMIFS('Alle ruter'!$AC$3:$AC$98,'Alle ruter'!$Z$3:$Z$98,"H2",'Alle ruter'!$I$3:$I$98,$A85,'Alle ruter'!$AJ$3:$AJ$98,"&lt;="&amp;I$2)/2+SUMIFS('Alle ruter'!$AC$3:$AC$98,'Alle ruter'!$Z$3:$Z$98,"H2",'Alle ruter'!$J$3:$J$98,$A85,'Alle ruter'!$AJ$3:$AJ$98,"&lt;="&amp;I$2)/2</f>
        <v>0</v>
      </c>
      <c r="J85" s="3">
        <f>SUMIFS('Alle ruter'!$AC$3:$AC$98,'Alle ruter'!$Z$3:$Z$98,"H2",'Alle ruter'!$I$3:$I$98,$A85,'Alle ruter'!$AJ$3:$AJ$98,"&lt;="&amp;J$2)/2+SUMIFS('Alle ruter'!$AC$3:$AC$98,'Alle ruter'!$Z$3:$Z$98,"H2",'Alle ruter'!$J$3:$J$98,$A85,'Alle ruter'!$AJ$3:$AJ$98,"&lt;="&amp;J$2)/2</f>
        <v>0</v>
      </c>
      <c r="K85" s="3">
        <f>SUMIFS('Alle ruter'!$AC$3:$AC$98,'Alle ruter'!$Z$3:$Z$98,"H2",'Alle ruter'!$I$3:$I$98,$A85,'Alle ruter'!$AJ$3:$AJ$98,"&lt;="&amp;K$2)/2+SUMIFS('Alle ruter'!$AC$3:$AC$98,'Alle ruter'!$Z$3:$Z$98,"H2",'Alle ruter'!$J$3:$J$98,$A85,'Alle ruter'!$AJ$3:$AJ$98,"&lt;="&amp;K$2)/2</f>
        <v>0</v>
      </c>
      <c r="L85" s="3">
        <f>SUMIFS('Alle ruter'!$AC$3:$AC$98,'Alle ruter'!$Z$3:$Z$98,"H2",'Alle ruter'!$I$3:$I$98,$A85,'Alle ruter'!$AJ$3:$AJ$98,"&lt;="&amp;L$2)/2+SUMIFS('Alle ruter'!$AC$3:$AC$98,'Alle ruter'!$Z$3:$Z$98,"H2",'Alle ruter'!$J$3:$J$98,$A85,'Alle ruter'!$AJ$3:$AJ$98,"&lt;="&amp;L$2)/2</f>
        <v>0</v>
      </c>
      <c r="M85" s="3">
        <f>SUMIFS('Alle ruter'!$AC$3:$AC$98,'Alle ruter'!$Z$3:$Z$98,"H2",'Alle ruter'!$I$3:$I$98,$A85,'Alle ruter'!$AJ$3:$AJ$98,"&lt;="&amp;M$2)/2+SUMIFS('Alle ruter'!$AC$3:$AC$98,'Alle ruter'!$Z$3:$Z$98,"H2",'Alle ruter'!$J$3:$J$98,$A85,'Alle ruter'!$AJ$3:$AJ$98,"&lt;="&amp;M$2)/2</f>
        <v>0</v>
      </c>
      <c r="N85" s="3">
        <f>SUMIFS('Alle ruter'!$AC$3:$AC$98,'Alle ruter'!$Z$3:$Z$98,"H2",'Alle ruter'!$I$3:$I$98,$A85,'Alle ruter'!$AJ$3:$AJ$98,"&lt;="&amp;N$2)/2+SUMIFS('Alle ruter'!$AC$3:$AC$98,'Alle ruter'!$Z$3:$Z$98,"H2",'Alle ruter'!$J$3:$J$98,$A85,'Alle ruter'!$AJ$3:$AJ$98,"&lt;="&amp;N$2)/2</f>
        <v>0</v>
      </c>
      <c r="O85" s="3">
        <f>SUMIFS('Alle ruter'!$AC$3:$AC$98,'Alle ruter'!$Z$3:$Z$98,"H2",'Alle ruter'!$I$3:$I$98,$A85,'Alle ruter'!$AJ$3:$AJ$98,"&lt;="&amp;O$2)/2+SUMIFS('Alle ruter'!$AC$3:$AC$98,'Alle ruter'!$Z$3:$Z$98,"H2",'Alle ruter'!$J$3:$J$98,$A85,'Alle ruter'!$AJ$3:$AJ$98,"&lt;="&amp;O$2)/2</f>
        <v>0</v>
      </c>
      <c r="P85" s="3">
        <f>SUMIFS('Alle ruter'!$AC$3:$AC$98,'Alle ruter'!$Z$3:$Z$98,"H2",'Alle ruter'!$I$3:$I$98,$A85,'Alle ruter'!$AJ$3:$AJ$98,"&lt;="&amp;P$2)/2+SUMIFS('Alle ruter'!$AC$3:$AC$98,'Alle ruter'!$Z$3:$Z$98,"H2",'Alle ruter'!$J$3:$J$98,$A85,'Alle ruter'!$AJ$3:$AJ$98,"&lt;="&amp;P$2)/2</f>
        <v>0</v>
      </c>
      <c r="Q85" s="3">
        <f>SUMIFS('Alle ruter'!$AC$3:$AC$98,'Alle ruter'!$Z$3:$Z$98,"H2",'Alle ruter'!$I$3:$I$98,$A85,'Alle ruter'!$AJ$3:$AJ$98,"&lt;="&amp;Q$2)/2+SUMIFS('Alle ruter'!$AC$3:$AC$98,'Alle ruter'!$Z$3:$Z$98,"H2",'Alle ruter'!$J$3:$J$98,$A85,'Alle ruter'!$AJ$3:$AJ$98,"&lt;="&amp;Q$2)/2</f>
        <v>0</v>
      </c>
      <c r="R85" s="3">
        <f>SUMIFS('Alle ruter'!$AC$3:$AC$98,'Alle ruter'!$Z$3:$Z$98,"H2",'Alle ruter'!$I$3:$I$98,$A85,'Alle ruter'!$AJ$3:$AJ$98,"&lt;="&amp;R$2)/2+SUMIFS('Alle ruter'!$AC$3:$AC$98,'Alle ruter'!$Z$3:$Z$98,"H2",'Alle ruter'!$J$3:$J$98,$A85,'Alle ruter'!$AJ$3:$AJ$98,"&lt;="&amp;R$2)/2</f>
        <v>0</v>
      </c>
      <c r="S85" s="3">
        <f>SUMIFS('Alle ruter'!$AC$3:$AC$98,'Alle ruter'!$Z$3:$Z$98,"H2",'Alle ruter'!$I$3:$I$98,$A85,'Alle ruter'!$AJ$3:$AJ$98,"&lt;="&amp;S$2)/2+SUMIFS('Alle ruter'!$AC$3:$AC$98,'Alle ruter'!$Z$3:$Z$98,"H2",'Alle ruter'!$J$3:$J$98,$A85,'Alle ruter'!$AJ$3:$AJ$98,"&lt;="&amp;S$2)/2</f>
        <v>0</v>
      </c>
      <c r="T85" s="3"/>
    </row>
    <row r="86" spans="1:20" x14ac:dyDescent="0.3">
      <c r="A86" t="s">
        <v>193</v>
      </c>
      <c r="B86" t="s">
        <v>388</v>
      </c>
      <c r="C86" s="3">
        <f>COUNTIF('Alle ruter'!$I$3:$I$98,'H2 pr endeplass'!A86)+COUNTIFS('Alle ruter'!$J$3:$J$98,'H2 pr endeplass'!A86,'Alle ruter'!$K$3:$K$98,"Nei")</f>
        <v>1</v>
      </c>
      <c r="D86" s="3">
        <f>COUNTIFS('Alle ruter'!$I$3:$I$98,'H2 pr endeplass'!A86,'Alle ruter'!$Z$3:$Z$98,"H2")+COUNTIFS('Alle ruter'!$J$3:$J$98,'H2 pr endeplass'!A86,'Alle ruter'!$K$3:$K$98,"Nei",'Alle ruter'!$Z$3:$Z$98,"H2")</f>
        <v>0</v>
      </c>
      <c r="E86">
        <v>0</v>
      </c>
      <c r="F86" s="3">
        <f>SUMIFS('Alle ruter'!$AC$3:$AC$98,'Alle ruter'!$Z$3:$Z$98,"H2",'Alle ruter'!$I$3:$I$98,$A86,'Alle ruter'!$AJ$3:$AJ$98,"&lt;="&amp;F$2)/2+SUMIFS('Alle ruter'!$AC$3:$AC$98,'Alle ruter'!$Z$3:$Z$98,"H2",'Alle ruter'!$J$3:$J$98,$A86,'Alle ruter'!$AJ$3:$AJ$98,"&lt;="&amp;F$2)/2</f>
        <v>0</v>
      </c>
      <c r="G86" s="3">
        <f>SUMIFS('Alle ruter'!$AC$3:$AC$98,'Alle ruter'!$Z$3:$Z$98,"H2",'Alle ruter'!$I$3:$I$98,$A86,'Alle ruter'!$AJ$3:$AJ$98,"&lt;="&amp;G$2)/2+SUMIFS('Alle ruter'!$AC$3:$AC$98,'Alle ruter'!$Z$3:$Z$98,"H2",'Alle ruter'!$J$3:$J$98,$A86,'Alle ruter'!$AJ$3:$AJ$98,"&lt;="&amp;G$2)/2</f>
        <v>0</v>
      </c>
      <c r="H86" s="3">
        <f>SUMIFS('Alle ruter'!$AC$3:$AC$98,'Alle ruter'!$Z$3:$Z$98,"H2",'Alle ruter'!$I$3:$I$98,$A86,'Alle ruter'!$AJ$3:$AJ$98,"&lt;="&amp;H$2)/2+SUMIFS('Alle ruter'!$AC$3:$AC$98,'Alle ruter'!$Z$3:$Z$98,"H2",'Alle ruter'!$J$3:$J$98,$A86,'Alle ruter'!$AJ$3:$AJ$98,"&lt;="&amp;H$2)/2</f>
        <v>0</v>
      </c>
      <c r="I86" s="3">
        <f>SUMIFS('Alle ruter'!$AC$3:$AC$98,'Alle ruter'!$Z$3:$Z$98,"H2",'Alle ruter'!$I$3:$I$98,$A86,'Alle ruter'!$AJ$3:$AJ$98,"&lt;="&amp;I$2)/2+SUMIFS('Alle ruter'!$AC$3:$AC$98,'Alle ruter'!$Z$3:$Z$98,"H2",'Alle ruter'!$J$3:$J$98,$A86,'Alle ruter'!$AJ$3:$AJ$98,"&lt;="&amp;I$2)/2</f>
        <v>0</v>
      </c>
      <c r="J86" s="3">
        <f>SUMIFS('Alle ruter'!$AC$3:$AC$98,'Alle ruter'!$Z$3:$Z$98,"H2",'Alle ruter'!$I$3:$I$98,$A86,'Alle ruter'!$AJ$3:$AJ$98,"&lt;="&amp;J$2)/2+SUMIFS('Alle ruter'!$AC$3:$AC$98,'Alle ruter'!$Z$3:$Z$98,"H2",'Alle ruter'!$J$3:$J$98,$A86,'Alle ruter'!$AJ$3:$AJ$98,"&lt;="&amp;J$2)/2</f>
        <v>0</v>
      </c>
      <c r="K86" s="3">
        <f>SUMIFS('Alle ruter'!$AC$3:$AC$98,'Alle ruter'!$Z$3:$Z$98,"H2",'Alle ruter'!$I$3:$I$98,$A86,'Alle ruter'!$AJ$3:$AJ$98,"&lt;="&amp;K$2)/2+SUMIFS('Alle ruter'!$AC$3:$AC$98,'Alle ruter'!$Z$3:$Z$98,"H2",'Alle ruter'!$J$3:$J$98,$A86,'Alle ruter'!$AJ$3:$AJ$98,"&lt;="&amp;K$2)/2</f>
        <v>0</v>
      </c>
      <c r="L86" s="3">
        <f>SUMIFS('Alle ruter'!$AC$3:$AC$98,'Alle ruter'!$Z$3:$Z$98,"H2",'Alle ruter'!$I$3:$I$98,$A86,'Alle ruter'!$AJ$3:$AJ$98,"&lt;="&amp;L$2)/2+SUMIFS('Alle ruter'!$AC$3:$AC$98,'Alle ruter'!$Z$3:$Z$98,"H2",'Alle ruter'!$J$3:$J$98,$A86,'Alle ruter'!$AJ$3:$AJ$98,"&lt;="&amp;L$2)/2</f>
        <v>0</v>
      </c>
      <c r="M86" s="3">
        <f>SUMIFS('Alle ruter'!$AC$3:$AC$98,'Alle ruter'!$Z$3:$Z$98,"H2",'Alle ruter'!$I$3:$I$98,$A86,'Alle ruter'!$AJ$3:$AJ$98,"&lt;="&amp;M$2)/2+SUMIFS('Alle ruter'!$AC$3:$AC$98,'Alle ruter'!$Z$3:$Z$98,"H2",'Alle ruter'!$J$3:$J$98,$A86,'Alle ruter'!$AJ$3:$AJ$98,"&lt;="&amp;M$2)/2</f>
        <v>0</v>
      </c>
      <c r="N86" s="3">
        <f>SUMIFS('Alle ruter'!$AC$3:$AC$98,'Alle ruter'!$Z$3:$Z$98,"H2",'Alle ruter'!$I$3:$I$98,$A86,'Alle ruter'!$AJ$3:$AJ$98,"&lt;="&amp;N$2)/2+SUMIFS('Alle ruter'!$AC$3:$AC$98,'Alle ruter'!$Z$3:$Z$98,"H2",'Alle ruter'!$J$3:$J$98,$A86,'Alle ruter'!$AJ$3:$AJ$98,"&lt;="&amp;N$2)/2</f>
        <v>0</v>
      </c>
      <c r="O86" s="3">
        <f>SUMIFS('Alle ruter'!$AC$3:$AC$98,'Alle ruter'!$Z$3:$Z$98,"H2",'Alle ruter'!$I$3:$I$98,$A86,'Alle ruter'!$AJ$3:$AJ$98,"&lt;="&amp;O$2)/2+SUMIFS('Alle ruter'!$AC$3:$AC$98,'Alle ruter'!$Z$3:$Z$98,"H2",'Alle ruter'!$J$3:$J$98,$A86,'Alle ruter'!$AJ$3:$AJ$98,"&lt;="&amp;O$2)/2</f>
        <v>0</v>
      </c>
      <c r="P86" s="3">
        <f>SUMIFS('Alle ruter'!$AC$3:$AC$98,'Alle ruter'!$Z$3:$Z$98,"H2",'Alle ruter'!$I$3:$I$98,$A86,'Alle ruter'!$AJ$3:$AJ$98,"&lt;="&amp;P$2)/2+SUMIFS('Alle ruter'!$AC$3:$AC$98,'Alle ruter'!$Z$3:$Z$98,"H2",'Alle ruter'!$J$3:$J$98,$A86,'Alle ruter'!$AJ$3:$AJ$98,"&lt;="&amp;P$2)/2</f>
        <v>0</v>
      </c>
      <c r="Q86" s="3">
        <f>SUMIFS('Alle ruter'!$AC$3:$AC$98,'Alle ruter'!$Z$3:$Z$98,"H2",'Alle ruter'!$I$3:$I$98,$A86,'Alle ruter'!$AJ$3:$AJ$98,"&lt;="&amp;Q$2)/2+SUMIFS('Alle ruter'!$AC$3:$AC$98,'Alle ruter'!$Z$3:$Z$98,"H2",'Alle ruter'!$J$3:$J$98,$A86,'Alle ruter'!$AJ$3:$AJ$98,"&lt;="&amp;Q$2)/2</f>
        <v>0</v>
      </c>
      <c r="R86" s="3">
        <f>SUMIFS('Alle ruter'!$AC$3:$AC$98,'Alle ruter'!$Z$3:$Z$98,"H2",'Alle ruter'!$I$3:$I$98,$A86,'Alle ruter'!$AJ$3:$AJ$98,"&lt;="&amp;R$2)/2+SUMIFS('Alle ruter'!$AC$3:$AC$98,'Alle ruter'!$Z$3:$Z$98,"H2",'Alle ruter'!$J$3:$J$98,$A86,'Alle ruter'!$AJ$3:$AJ$98,"&lt;="&amp;R$2)/2</f>
        <v>0</v>
      </c>
      <c r="S86" s="3">
        <f>SUMIFS('Alle ruter'!$AC$3:$AC$98,'Alle ruter'!$Z$3:$Z$98,"H2",'Alle ruter'!$I$3:$I$98,$A86,'Alle ruter'!$AJ$3:$AJ$98,"&lt;="&amp;S$2)/2+SUMIFS('Alle ruter'!$AC$3:$AC$98,'Alle ruter'!$Z$3:$Z$98,"H2",'Alle ruter'!$J$3:$J$98,$A86,'Alle ruter'!$AJ$3:$AJ$98,"&lt;="&amp;S$2)/2</f>
        <v>0</v>
      </c>
      <c r="T86" s="3"/>
    </row>
    <row r="87" spans="1:20" x14ac:dyDescent="0.3">
      <c r="A87" t="s">
        <v>194</v>
      </c>
      <c r="B87" t="s">
        <v>388</v>
      </c>
      <c r="C87" s="3">
        <f>COUNTIF('Alle ruter'!$I$3:$I$98,'H2 pr endeplass'!A87)+COUNTIFS('Alle ruter'!$J$3:$J$98,'H2 pr endeplass'!A87,'Alle ruter'!$K$3:$K$98,"Nei")</f>
        <v>1</v>
      </c>
      <c r="D87" s="3">
        <f>COUNTIFS('Alle ruter'!$I$3:$I$98,'H2 pr endeplass'!A87,'Alle ruter'!$Z$3:$Z$98,"H2")+COUNTIFS('Alle ruter'!$J$3:$J$98,'H2 pr endeplass'!A87,'Alle ruter'!$K$3:$K$98,"Nei",'Alle ruter'!$Z$3:$Z$98,"H2")</f>
        <v>0</v>
      </c>
      <c r="E87">
        <v>0</v>
      </c>
      <c r="F87" s="3">
        <f>SUMIFS('Alle ruter'!$AC$3:$AC$98,'Alle ruter'!$Z$3:$Z$98,"H2",'Alle ruter'!$I$3:$I$98,$A87,'Alle ruter'!$AJ$3:$AJ$98,"&lt;="&amp;F$2)/2+SUMIFS('Alle ruter'!$AC$3:$AC$98,'Alle ruter'!$Z$3:$Z$98,"H2",'Alle ruter'!$J$3:$J$98,$A87,'Alle ruter'!$AJ$3:$AJ$98,"&lt;="&amp;F$2)/2</f>
        <v>0</v>
      </c>
      <c r="G87" s="3">
        <f>SUMIFS('Alle ruter'!$AC$3:$AC$98,'Alle ruter'!$Z$3:$Z$98,"H2",'Alle ruter'!$I$3:$I$98,$A87,'Alle ruter'!$AJ$3:$AJ$98,"&lt;="&amp;G$2)/2+SUMIFS('Alle ruter'!$AC$3:$AC$98,'Alle ruter'!$Z$3:$Z$98,"H2",'Alle ruter'!$J$3:$J$98,$A87,'Alle ruter'!$AJ$3:$AJ$98,"&lt;="&amp;G$2)/2</f>
        <v>0</v>
      </c>
      <c r="H87" s="3">
        <f>SUMIFS('Alle ruter'!$AC$3:$AC$98,'Alle ruter'!$Z$3:$Z$98,"H2",'Alle ruter'!$I$3:$I$98,$A87,'Alle ruter'!$AJ$3:$AJ$98,"&lt;="&amp;H$2)/2+SUMIFS('Alle ruter'!$AC$3:$AC$98,'Alle ruter'!$Z$3:$Z$98,"H2",'Alle ruter'!$J$3:$J$98,$A87,'Alle ruter'!$AJ$3:$AJ$98,"&lt;="&amp;H$2)/2</f>
        <v>0</v>
      </c>
      <c r="I87" s="3">
        <f>SUMIFS('Alle ruter'!$AC$3:$AC$98,'Alle ruter'!$Z$3:$Z$98,"H2",'Alle ruter'!$I$3:$I$98,$A87,'Alle ruter'!$AJ$3:$AJ$98,"&lt;="&amp;I$2)/2+SUMIFS('Alle ruter'!$AC$3:$AC$98,'Alle ruter'!$Z$3:$Z$98,"H2",'Alle ruter'!$J$3:$J$98,$A87,'Alle ruter'!$AJ$3:$AJ$98,"&lt;="&amp;I$2)/2</f>
        <v>0</v>
      </c>
      <c r="J87" s="3">
        <f>SUMIFS('Alle ruter'!$AC$3:$AC$98,'Alle ruter'!$Z$3:$Z$98,"H2",'Alle ruter'!$I$3:$I$98,$A87,'Alle ruter'!$AJ$3:$AJ$98,"&lt;="&amp;J$2)/2+SUMIFS('Alle ruter'!$AC$3:$AC$98,'Alle ruter'!$Z$3:$Z$98,"H2",'Alle ruter'!$J$3:$J$98,$A87,'Alle ruter'!$AJ$3:$AJ$98,"&lt;="&amp;J$2)/2</f>
        <v>0</v>
      </c>
      <c r="K87" s="3">
        <f>SUMIFS('Alle ruter'!$AC$3:$AC$98,'Alle ruter'!$Z$3:$Z$98,"H2",'Alle ruter'!$I$3:$I$98,$A87,'Alle ruter'!$AJ$3:$AJ$98,"&lt;="&amp;K$2)/2+SUMIFS('Alle ruter'!$AC$3:$AC$98,'Alle ruter'!$Z$3:$Z$98,"H2",'Alle ruter'!$J$3:$J$98,$A87,'Alle ruter'!$AJ$3:$AJ$98,"&lt;="&amp;K$2)/2</f>
        <v>0</v>
      </c>
      <c r="L87" s="3">
        <f>SUMIFS('Alle ruter'!$AC$3:$AC$98,'Alle ruter'!$Z$3:$Z$98,"H2",'Alle ruter'!$I$3:$I$98,$A87,'Alle ruter'!$AJ$3:$AJ$98,"&lt;="&amp;L$2)/2+SUMIFS('Alle ruter'!$AC$3:$AC$98,'Alle ruter'!$Z$3:$Z$98,"H2",'Alle ruter'!$J$3:$J$98,$A87,'Alle ruter'!$AJ$3:$AJ$98,"&lt;="&amp;L$2)/2</f>
        <v>0</v>
      </c>
      <c r="M87" s="3">
        <f>SUMIFS('Alle ruter'!$AC$3:$AC$98,'Alle ruter'!$Z$3:$Z$98,"H2",'Alle ruter'!$I$3:$I$98,$A87,'Alle ruter'!$AJ$3:$AJ$98,"&lt;="&amp;M$2)/2+SUMIFS('Alle ruter'!$AC$3:$AC$98,'Alle ruter'!$Z$3:$Z$98,"H2",'Alle ruter'!$J$3:$J$98,$A87,'Alle ruter'!$AJ$3:$AJ$98,"&lt;="&amp;M$2)/2</f>
        <v>0</v>
      </c>
      <c r="N87" s="3">
        <f>SUMIFS('Alle ruter'!$AC$3:$AC$98,'Alle ruter'!$Z$3:$Z$98,"H2",'Alle ruter'!$I$3:$I$98,$A87,'Alle ruter'!$AJ$3:$AJ$98,"&lt;="&amp;N$2)/2+SUMIFS('Alle ruter'!$AC$3:$AC$98,'Alle ruter'!$Z$3:$Z$98,"H2",'Alle ruter'!$J$3:$J$98,$A87,'Alle ruter'!$AJ$3:$AJ$98,"&lt;="&amp;N$2)/2</f>
        <v>0</v>
      </c>
      <c r="O87" s="3">
        <f>SUMIFS('Alle ruter'!$AC$3:$AC$98,'Alle ruter'!$Z$3:$Z$98,"H2",'Alle ruter'!$I$3:$I$98,$A87,'Alle ruter'!$AJ$3:$AJ$98,"&lt;="&amp;O$2)/2+SUMIFS('Alle ruter'!$AC$3:$AC$98,'Alle ruter'!$Z$3:$Z$98,"H2",'Alle ruter'!$J$3:$J$98,$A87,'Alle ruter'!$AJ$3:$AJ$98,"&lt;="&amp;O$2)/2</f>
        <v>0</v>
      </c>
      <c r="P87" s="3">
        <f>SUMIFS('Alle ruter'!$AC$3:$AC$98,'Alle ruter'!$Z$3:$Z$98,"H2",'Alle ruter'!$I$3:$I$98,$A87,'Alle ruter'!$AJ$3:$AJ$98,"&lt;="&amp;P$2)/2+SUMIFS('Alle ruter'!$AC$3:$AC$98,'Alle ruter'!$Z$3:$Z$98,"H2",'Alle ruter'!$J$3:$J$98,$A87,'Alle ruter'!$AJ$3:$AJ$98,"&lt;="&amp;P$2)/2</f>
        <v>0</v>
      </c>
      <c r="Q87" s="3">
        <f>SUMIFS('Alle ruter'!$AC$3:$AC$98,'Alle ruter'!$Z$3:$Z$98,"H2",'Alle ruter'!$I$3:$I$98,$A87,'Alle ruter'!$AJ$3:$AJ$98,"&lt;="&amp;Q$2)/2+SUMIFS('Alle ruter'!$AC$3:$AC$98,'Alle ruter'!$Z$3:$Z$98,"H2",'Alle ruter'!$J$3:$J$98,$A87,'Alle ruter'!$AJ$3:$AJ$98,"&lt;="&amp;Q$2)/2</f>
        <v>0</v>
      </c>
      <c r="R87" s="3">
        <f>SUMIFS('Alle ruter'!$AC$3:$AC$98,'Alle ruter'!$Z$3:$Z$98,"H2",'Alle ruter'!$I$3:$I$98,$A87,'Alle ruter'!$AJ$3:$AJ$98,"&lt;="&amp;R$2)/2+SUMIFS('Alle ruter'!$AC$3:$AC$98,'Alle ruter'!$Z$3:$Z$98,"H2",'Alle ruter'!$J$3:$J$98,$A87,'Alle ruter'!$AJ$3:$AJ$98,"&lt;="&amp;R$2)/2</f>
        <v>0</v>
      </c>
      <c r="S87" s="3">
        <f>SUMIFS('Alle ruter'!$AC$3:$AC$98,'Alle ruter'!$Z$3:$Z$98,"H2",'Alle ruter'!$I$3:$I$98,$A87,'Alle ruter'!$AJ$3:$AJ$98,"&lt;="&amp;S$2)/2+SUMIFS('Alle ruter'!$AC$3:$AC$98,'Alle ruter'!$Z$3:$Z$98,"H2",'Alle ruter'!$J$3:$J$98,$A87,'Alle ruter'!$AJ$3:$AJ$98,"&lt;="&amp;S$2)/2</f>
        <v>0</v>
      </c>
      <c r="T87" s="3"/>
    </row>
    <row r="88" spans="1:20" x14ac:dyDescent="0.3">
      <c r="A88" t="s">
        <v>180</v>
      </c>
      <c r="B88" t="s">
        <v>19</v>
      </c>
      <c r="C88" s="3">
        <f>COUNTIF('Alle ruter'!$I$3:$I$98,'H2 pr endeplass'!A88)+COUNTIFS('Alle ruter'!$J$3:$J$98,'H2 pr endeplass'!A88,'Alle ruter'!$K$3:$K$98,"Nei")</f>
        <v>1</v>
      </c>
      <c r="D88" s="3">
        <f>COUNTIFS('Alle ruter'!$I$3:$I$98,'H2 pr endeplass'!A88,'Alle ruter'!$Z$3:$Z$98,"H2")+COUNTIFS('Alle ruter'!$J$3:$J$98,'H2 pr endeplass'!A88,'Alle ruter'!$K$3:$K$98,"Nei",'Alle ruter'!$Z$3:$Z$98,"H2")</f>
        <v>0</v>
      </c>
      <c r="E88">
        <v>0</v>
      </c>
      <c r="F88" s="3">
        <f>SUMIFS('Alle ruter'!$AC$3:$AC$98,'Alle ruter'!$Z$3:$Z$98,"H2",'Alle ruter'!$I$3:$I$98,$A88,'Alle ruter'!$AJ$3:$AJ$98,"&lt;="&amp;F$2)/2+SUMIFS('Alle ruter'!$AC$3:$AC$98,'Alle ruter'!$Z$3:$Z$98,"H2",'Alle ruter'!$J$3:$J$98,$A88,'Alle ruter'!$AJ$3:$AJ$98,"&lt;="&amp;F$2)/2</f>
        <v>0</v>
      </c>
      <c r="G88" s="3">
        <f>SUMIFS('Alle ruter'!$AC$3:$AC$98,'Alle ruter'!$Z$3:$Z$98,"H2",'Alle ruter'!$I$3:$I$98,$A88,'Alle ruter'!$AJ$3:$AJ$98,"&lt;="&amp;G$2)/2+SUMIFS('Alle ruter'!$AC$3:$AC$98,'Alle ruter'!$Z$3:$Z$98,"H2",'Alle ruter'!$J$3:$J$98,$A88,'Alle ruter'!$AJ$3:$AJ$98,"&lt;="&amp;G$2)/2</f>
        <v>0</v>
      </c>
      <c r="H88" s="3">
        <f>SUMIFS('Alle ruter'!$AC$3:$AC$98,'Alle ruter'!$Z$3:$Z$98,"H2",'Alle ruter'!$I$3:$I$98,$A88,'Alle ruter'!$AJ$3:$AJ$98,"&lt;="&amp;H$2)/2+SUMIFS('Alle ruter'!$AC$3:$AC$98,'Alle ruter'!$Z$3:$Z$98,"H2",'Alle ruter'!$J$3:$J$98,$A88,'Alle ruter'!$AJ$3:$AJ$98,"&lt;="&amp;H$2)/2</f>
        <v>0</v>
      </c>
      <c r="I88" s="3">
        <f>SUMIFS('Alle ruter'!$AC$3:$AC$98,'Alle ruter'!$Z$3:$Z$98,"H2",'Alle ruter'!$I$3:$I$98,$A88,'Alle ruter'!$AJ$3:$AJ$98,"&lt;="&amp;I$2)/2+SUMIFS('Alle ruter'!$AC$3:$AC$98,'Alle ruter'!$Z$3:$Z$98,"H2",'Alle ruter'!$J$3:$J$98,$A88,'Alle ruter'!$AJ$3:$AJ$98,"&lt;="&amp;I$2)/2</f>
        <v>0</v>
      </c>
      <c r="J88" s="3">
        <f>SUMIFS('Alle ruter'!$AC$3:$AC$98,'Alle ruter'!$Z$3:$Z$98,"H2",'Alle ruter'!$I$3:$I$98,$A88,'Alle ruter'!$AJ$3:$AJ$98,"&lt;="&amp;J$2)/2+SUMIFS('Alle ruter'!$AC$3:$AC$98,'Alle ruter'!$Z$3:$Z$98,"H2",'Alle ruter'!$J$3:$J$98,$A88,'Alle ruter'!$AJ$3:$AJ$98,"&lt;="&amp;J$2)/2</f>
        <v>0</v>
      </c>
      <c r="K88" s="3">
        <f>SUMIFS('Alle ruter'!$AC$3:$AC$98,'Alle ruter'!$Z$3:$Z$98,"H2",'Alle ruter'!$I$3:$I$98,$A88,'Alle ruter'!$AJ$3:$AJ$98,"&lt;="&amp;K$2)/2+SUMIFS('Alle ruter'!$AC$3:$AC$98,'Alle ruter'!$Z$3:$Z$98,"H2",'Alle ruter'!$J$3:$J$98,$A88,'Alle ruter'!$AJ$3:$AJ$98,"&lt;="&amp;K$2)/2</f>
        <v>0</v>
      </c>
      <c r="L88" s="3">
        <f>SUMIFS('Alle ruter'!$AC$3:$AC$98,'Alle ruter'!$Z$3:$Z$98,"H2",'Alle ruter'!$I$3:$I$98,$A88,'Alle ruter'!$AJ$3:$AJ$98,"&lt;="&amp;L$2)/2+SUMIFS('Alle ruter'!$AC$3:$AC$98,'Alle ruter'!$Z$3:$Z$98,"H2",'Alle ruter'!$J$3:$J$98,$A88,'Alle ruter'!$AJ$3:$AJ$98,"&lt;="&amp;L$2)/2</f>
        <v>0</v>
      </c>
      <c r="M88" s="3">
        <f>SUMIFS('Alle ruter'!$AC$3:$AC$98,'Alle ruter'!$Z$3:$Z$98,"H2",'Alle ruter'!$I$3:$I$98,$A88,'Alle ruter'!$AJ$3:$AJ$98,"&lt;="&amp;M$2)/2+SUMIFS('Alle ruter'!$AC$3:$AC$98,'Alle ruter'!$Z$3:$Z$98,"H2",'Alle ruter'!$J$3:$J$98,$A88,'Alle ruter'!$AJ$3:$AJ$98,"&lt;="&amp;M$2)/2</f>
        <v>0</v>
      </c>
      <c r="N88" s="3">
        <f>SUMIFS('Alle ruter'!$AC$3:$AC$98,'Alle ruter'!$Z$3:$Z$98,"H2",'Alle ruter'!$I$3:$I$98,$A88,'Alle ruter'!$AJ$3:$AJ$98,"&lt;="&amp;N$2)/2+SUMIFS('Alle ruter'!$AC$3:$AC$98,'Alle ruter'!$Z$3:$Z$98,"H2",'Alle ruter'!$J$3:$J$98,$A88,'Alle ruter'!$AJ$3:$AJ$98,"&lt;="&amp;N$2)/2</f>
        <v>0</v>
      </c>
      <c r="O88" s="3">
        <f>SUMIFS('Alle ruter'!$AC$3:$AC$98,'Alle ruter'!$Z$3:$Z$98,"H2",'Alle ruter'!$I$3:$I$98,$A88,'Alle ruter'!$AJ$3:$AJ$98,"&lt;="&amp;O$2)/2+SUMIFS('Alle ruter'!$AC$3:$AC$98,'Alle ruter'!$Z$3:$Z$98,"H2",'Alle ruter'!$J$3:$J$98,$A88,'Alle ruter'!$AJ$3:$AJ$98,"&lt;="&amp;O$2)/2</f>
        <v>0</v>
      </c>
      <c r="P88" s="3">
        <f>SUMIFS('Alle ruter'!$AC$3:$AC$98,'Alle ruter'!$Z$3:$Z$98,"H2",'Alle ruter'!$I$3:$I$98,$A88,'Alle ruter'!$AJ$3:$AJ$98,"&lt;="&amp;P$2)/2+SUMIFS('Alle ruter'!$AC$3:$AC$98,'Alle ruter'!$Z$3:$Z$98,"H2",'Alle ruter'!$J$3:$J$98,$A88,'Alle ruter'!$AJ$3:$AJ$98,"&lt;="&amp;P$2)/2</f>
        <v>0</v>
      </c>
      <c r="Q88" s="3">
        <f>SUMIFS('Alle ruter'!$AC$3:$AC$98,'Alle ruter'!$Z$3:$Z$98,"H2",'Alle ruter'!$I$3:$I$98,$A88,'Alle ruter'!$AJ$3:$AJ$98,"&lt;="&amp;Q$2)/2+SUMIFS('Alle ruter'!$AC$3:$AC$98,'Alle ruter'!$Z$3:$Z$98,"H2",'Alle ruter'!$J$3:$J$98,$A88,'Alle ruter'!$AJ$3:$AJ$98,"&lt;="&amp;Q$2)/2</f>
        <v>0</v>
      </c>
      <c r="R88" s="3">
        <f>SUMIFS('Alle ruter'!$AC$3:$AC$98,'Alle ruter'!$Z$3:$Z$98,"H2",'Alle ruter'!$I$3:$I$98,$A88,'Alle ruter'!$AJ$3:$AJ$98,"&lt;="&amp;R$2)/2+SUMIFS('Alle ruter'!$AC$3:$AC$98,'Alle ruter'!$Z$3:$Z$98,"H2",'Alle ruter'!$J$3:$J$98,$A88,'Alle ruter'!$AJ$3:$AJ$98,"&lt;="&amp;R$2)/2</f>
        <v>0</v>
      </c>
      <c r="S88" s="3">
        <f>SUMIFS('Alle ruter'!$AC$3:$AC$98,'Alle ruter'!$Z$3:$Z$98,"H2",'Alle ruter'!$I$3:$I$98,$A88,'Alle ruter'!$AJ$3:$AJ$98,"&lt;="&amp;S$2)/2+SUMIFS('Alle ruter'!$AC$3:$AC$98,'Alle ruter'!$Z$3:$Z$98,"H2",'Alle ruter'!$J$3:$J$98,$A88,'Alle ruter'!$AJ$3:$AJ$98,"&lt;="&amp;S$2)/2</f>
        <v>0</v>
      </c>
      <c r="T88" s="3"/>
    </row>
    <row r="89" spans="1:20" x14ac:dyDescent="0.3">
      <c r="A89" t="s">
        <v>145</v>
      </c>
      <c r="C89" s="3">
        <f>COUNTIF('Alle ruter'!$I$3:$I$98,'H2 pr endeplass'!A89)+COUNTIFS('Alle ruter'!$J$3:$J$98,'H2 pr endeplass'!A89,'Alle ruter'!$K$3:$K$98,"Nei")</f>
        <v>1</v>
      </c>
      <c r="D89" s="3">
        <f>COUNTIFS('Alle ruter'!$I$3:$I$98,'H2 pr endeplass'!A89,'Alle ruter'!$Z$3:$Z$98,"H2")+COUNTIFS('Alle ruter'!$J$3:$J$98,'H2 pr endeplass'!A89,'Alle ruter'!$K$3:$K$98,"Nei",'Alle ruter'!$Z$3:$Z$98,"H2")</f>
        <v>0</v>
      </c>
      <c r="E89">
        <v>0</v>
      </c>
      <c r="F89" s="3">
        <f>SUMIFS('Alle ruter'!$AC$3:$AC$98,'Alle ruter'!$Z$3:$Z$98,"H2",'Alle ruter'!$I$3:$I$98,$A89,'Alle ruter'!$AJ$3:$AJ$98,"&lt;="&amp;F$2)/2+SUMIFS('Alle ruter'!$AC$3:$AC$98,'Alle ruter'!$Z$3:$Z$98,"H2",'Alle ruter'!$J$3:$J$98,$A89,'Alle ruter'!$AJ$3:$AJ$98,"&lt;="&amp;F$2)/2</f>
        <v>0</v>
      </c>
      <c r="G89" s="3">
        <f>SUMIFS('Alle ruter'!$AC$3:$AC$98,'Alle ruter'!$Z$3:$Z$98,"H2",'Alle ruter'!$I$3:$I$98,$A89,'Alle ruter'!$AJ$3:$AJ$98,"&lt;="&amp;G$2)/2+SUMIFS('Alle ruter'!$AC$3:$AC$98,'Alle ruter'!$Z$3:$Z$98,"H2",'Alle ruter'!$J$3:$J$98,$A89,'Alle ruter'!$AJ$3:$AJ$98,"&lt;="&amp;G$2)/2</f>
        <v>0</v>
      </c>
      <c r="H89" s="3">
        <f>SUMIFS('Alle ruter'!$AC$3:$AC$98,'Alle ruter'!$Z$3:$Z$98,"H2",'Alle ruter'!$I$3:$I$98,$A89,'Alle ruter'!$AJ$3:$AJ$98,"&lt;="&amp;H$2)/2+SUMIFS('Alle ruter'!$AC$3:$AC$98,'Alle ruter'!$Z$3:$Z$98,"H2",'Alle ruter'!$J$3:$J$98,$A89,'Alle ruter'!$AJ$3:$AJ$98,"&lt;="&amp;H$2)/2</f>
        <v>0</v>
      </c>
      <c r="I89" s="3">
        <f>SUMIFS('Alle ruter'!$AC$3:$AC$98,'Alle ruter'!$Z$3:$Z$98,"H2",'Alle ruter'!$I$3:$I$98,$A89,'Alle ruter'!$AJ$3:$AJ$98,"&lt;="&amp;I$2)/2+SUMIFS('Alle ruter'!$AC$3:$AC$98,'Alle ruter'!$Z$3:$Z$98,"H2",'Alle ruter'!$J$3:$J$98,$A89,'Alle ruter'!$AJ$3:$AJ$98,"&lt;="&amp;I$2)/2</f>
        <v>0</v>
      </c>
      <c r="J89" s="3">
        <f>SUMIFS('Alle ruter'!$AC$3:$AC$98,'Alle ruter'!$Z$3:$Z$98,"H2",'Alle ruter'!$I$3:$I$98,$A89,'Alle ruter'!$AJ$3:$AJ$98,"&lt;="&amp;J$2)/2+SUMIFS('Alle ruter'!$AC$3:$AC$98,'Alle ruter'!$Z$3:$Z$98,"H2",'Alle ruter'!$J$3:$J$98,$A89,'Alle ruter'!$AJ$3:$AJ$98,"&lt;="&amp;J$2)/2</f>
        <v>0</v>
      </c>
      <c r="K89" s="3">
        <f>SUMIFS('Alle ruter'!$AC$3:$AC$98,'Alle ruter'!$Z$3:$Z$98,"H2",'Alle ruter'!$I$3:$I$98,$A89,'Alle ruter'!$AJ$3:$AJ$98,"&lt;="&amp;K$2)/2+SUMIFS('Alle ruter'!$AC$3:$AC$98,'Alle ruter'!$Z$3:$Z$98,"H2",'Alle ruter'!$J$3:$J$98,$A89,'Alle ruter'!$AJ$3:$AJ$98,"&lt;="&amp;K$2)/2</f>
        <v>0</v>
      </c>
      <c r="L89" s="3">
        <f>SUMIFS('Alle ruter'!$AC$3:$AC$98,'Alle ruter'!$Z$3:$Z$98,"H2",'Alle ruter'!$I$3:$I$98,$A89,'Alle ruter'!$AJ$3:$AJ$98,"&lt;="&amp;L$2)/2+SUMIFS('Alle ruter'!$AC$3:$AC$98,'Alle ruter'!$Z$3:$Z$98,"H2",'Alle ruter'!$J$3:$J$98,$A89,'Alle ruter'!$AJ$3:$AJ$98,"&lt;="&amp;L$2)/2</f>
        <v>0</v>
      </c>
      <c r="M89" s="3">
        <f>SUMIFS('Alle ruter'!$AC$3:$AC$98,'Alle ruter'!$Z$3:$Z$98,"H2",'Alle ruter'!$I$3:$I$98,$A89,'Alle ruter'!$AJ$3:$AJ$98,"&lt;="&amp;M$2)/2+SUMIFS('Alle ruter'!$AC$3:$AC$98,'Alle ruter'!$Z$3:$Z$98,"H2",'Alle ruter'!$J$3:$J$98,$A89,'Alle ruter'!$AJ$3:$AJ$98,"&lt;="&amp;M$2)/2</f>
        <v>0</v>
      </c>
      <c r="N89" s="3">
        <f>SUMIFS('Alle ruter'!$AC$3:$AC$98,'Alle ruter'!$Z$3:$Z$98,"H2",'Alle ruter'!$I$3:$I$98,$A89,'Alle ruter'!$AJ$3:$AJ$98,"&lt;="&amp;N$2)/2+SUMIFS('Alle ruter'!$AC$3:$AC$98,'Alle ruter'!$Z$3:$Z$98,"H2",'Alle ruter'!$J$3:$J$98,$A89,'Alle ruter'!$AJ$3:$AJ$98,"&lt;="&amp;N$2)/2</f>
        <v>0</v>
      </c>
      <c r="O89" s="3">
        <f>SUMIFS('Alle ruter'!$AC$3:$AC$98,'Alle ruter'!$Z$3:$Z$98,"H2",'Alle ruter'!$I$3:$I$98,$A89,'Alle ruter'!$AJ$3:$AJ$98,"&lt;="&amp;O$2)/2+SUMIFS('Alle ruter'!$AC$3:$AC$98,'Alle ruter'!$Z$3:$Z$98,"H2",'Alle ruter'!$J$3:$J$98,$A89,'Alle ruter'!$AJ$3:$AJ$98,"&lt;="&amp;O$2)/2</f>
        <v>0</v>
      </c>
      <c r="P89" s="3">
        <f>SUMIFS('Alle ruter'!$AC$3:$AC$98,'Alle ruter'!$Z$3:$Z$98,"H2",'Alle ruter'!$I$3:$I$98,$A89,'Alle ruter'!$AJ$3:$AJ$98,"&lt;="&amp;P$2)/2+SUMIFS('Alle ruter'!$AC$3:$AC$98,'Alle ruter'!$Z$3:$Z$98,"H2",'Alle ruter'!$J$3:$J$98,$A89,'Alle ruter'!$AJ$3:$AJ$98,"&lt;="&amp;P$2)/2</f>
        <v>0</v>
      </c>
      <c r="Q89" s="3">
        <f>SUMIFS('Alle ruter'!$AC$3:$AC$98,'Alle ruter'!$Z$3:$Z$98,"H2",'Alle ruter'!$I$3:$I$98,$A89,'Alle ruter'!$AJ$3:$AJ$98,"&lt;="&amp;Q$2)/2+SUMIFS('Alle ruter'!$AC$3:$AC$98,'Alle ruter'!$Z$3:$Z$98,"H2",'Alle ruter'!$J$3:$J$98,$A89,'Alle ruter'!$AJ$3:$AJ$98,"&lt;="&amp;Q$2)/2</f>
        <v>0</v>
      </c>
      <c r="R89" s="3">
        <f>SUMIFS('Alle ruter'!$AC$3:$AC$98,'Alle ruter'!$Z$3:$Z$98,"H2",'Alle ruter'!$I$3:$I$98,$A89,'Alle ruter'!$AJ$3:$AJ$98,"&lt;="&amp;R$2)/2+SUMIFS('Alle ruter'!$AC$3:$AC$98,'Alle ruter'!$Z$3:$Z$98,"H2",'Alle ruter'!$J$3:$J$98,$A89,'Alle ruter'!$AJ$3:$AJ$98,"&lt;="&amp;R$2)/2</f>
        <v>0</v>
      </c>
      <c r="S89" s="3">
        <f>SUMIFS('Alle ruter'!$AC$3:$AC$98,'Alle ruter'!$Z$3:$Z$98,"H2",'Alle ruter'!$I$3:$I$98,$A89,'Alle ruter'!$AJ$3:$AJ$98,"&lt;="&amp;S$2)/2+SUMIFS('Alle ruter'!$AC$3:$AC$98,'Alle ruter'!$Z$3:$Z$98,"H2",'Alle ruter'!$J$3:$J$98,$A89,'Alle ruter'!$AJ$3:$AJ$98,"&lt;="&amp;S$2)/2</f>
        <v>0</v>
      </c>
      <c r="T89" s="3"/>
    </row>
    <row r="90" spans="1:20" x14ac:dyDescent="0.3">
      <c r="A90" t="s">
        <v>137</v>
      </c>
      <c r="C90" s="3">
        <f>COUNTIF('Alle ruter'!$I$3:$I$98,'H2 pr endeplass'!A90)+COUNTIFS('Alle ruter'!$J$3:$J$98,'H2 pr endeplass'!A90,'Alle ruter'!$K$3:$K$98,"Nei")</f>
        <v>1</v>
      </c>
      <c r="D90" s="3">
        <f>COUNTIFS('Alle ruter'!$I$3:$I$98,'H2 pr endeplass'!A90,'Alle ruter'!$Z$3:$Z$98,"H2")+COUNTIFS('Alle ruter'!$J$3:$J$98,'H2 pr endeplass'!A90,'Alle ruter'!$K$3:$K$98,"Nei",'Alle ruter'!$Z$3:$Z$98,"H2")</f>
        <v>0</v>
      </c>
      <c r="E90">
        <v>0</v>
      </c>
      <c r="F90" s="3">
        <f>SUMIFS('Alle ruter'!$AC$3:$AC$98,'Alle ruter'!$Z$3:$Z$98,"H2",'Alle ruter'!$I$3:$I$98,$A90,'Alle ruter'!$AJ$3:$AJ$98,"&lt;="&amp;F$2)/2+SUMIFS('Alle ruter'!$AC$3:$AC$98,'Alle ruter'!$Z$3:$Z$98,"H2",'Alle ruter'!$J$3:$J$98,$A90,'Alle ruter'!$AJ$3:$AJ$98,"&lt;="&amp;F$2)/2</f>
        <v>0</v>
      </c>
      <c r="G90" s="3">
        <f>SUMIFS('Alle ruter'!$AC$3:$AC$98,'Alle ruter'!$Z$3:$Z$98,"H2",'Alle ruter'!$I$3:$I$98,$A90,'Alle ruter'!$AJ$3:$AJ$98,"&lt;="&amp;G$2)/2+SUMIFS('Alle ruter'!$AC$3:$AC$98,'Alle ruter'!$Z$3:$Z$98,"H2",'Alle ruter'!$J$3:$J$98,$A90,'Alle ruter'!$AJ$3:$AJ$98,"&lt;="&amp;G$2)/2</f>
        <v>0</v>
      </c>
      <c r="H90" s="3">
        <f>SUMIFS('Alle ruter'!$AC$3:$AC$98,'Alle ruter'!$Z$3:$Z$98,"H2",'Alle ruter'!$I$3:$I$98,$A90,'Alle ruter'!$AJ$3:$AJ$98,"&lt;="&amp;H$2)/2+SUMIFS('Alle ruter'!$AC$3:$AC$98,'Alle ruter'!$Z$3:$Z$98,"H2",'Alle ruter'!$J$3:$J$98,$A90,'Alle ruter'!$AJ$3:$AJ$98,"&lt;="&amp;H$2)/2</f>
        <v>0</v>
      </c>
      <c r="I90" s="3">
        <f>SUMIFS('Alle ruter'!$AC$3:$AC$98,'Alle ruter'!$Z$3:$Z$98,"H2",'Alle ruter'!$I$3:$I$98,$A90,'Alle ruter'!$AJ$3:$AJ$98,"&lt;="&amp;I$2)/2+SUMIFS('Alle ruter'!$AC$3:$AC$98,'Alle ruter'!$Z$3:$Z$98,"H2",'Alle ruter'!$J$3:$J$98,$A90,'Alle ruter'!$AJ$3:$AJ$98,"&lt;="&amp;I$2)/2</f>
        <v>0</v>
      </c>
      <c r="J90" s="3">
        <f>SUMIFS('Alle ruter'!$AC$3:$AC$98,'Alle ruter'!$Z$3:$Z$98,"H2",'Alle ruter'!$I$3:$I$98,$A90,'Alle ruter'!$AJ$3:$AJ$98,"&lt;="&amp;J$2)/2+SUMIFS('Alle ruter'!$AC$3:$AC$98,'Alle ruter'!$Z$3:$Z$98,"H2",'Alle ruter'!$J$3:$J$98,$A90,'Alle ruter'!$AJ$3:$AJ$98,"&lt;="&amp;J$2)/2</f>
        <v>0</v>
      </c>
      <c r="K90" s="3">
        <f>SUMIFS('Alle ruter'!$AC$3:$AC$98,'Alle ruter'!$Z$3:$Z$98,"H2",'Alle ruter'!$I$3:$I$98,$A90,'Alle ruter'!$AJ$3:$AJ$98,"&lt;="&amp;K$2)/2+SUMIFS('Alle ruter'!$AC$3:$AC$98,'Alle ruter'!$Z$3:$Z$98,"H2",'Alle ruter'!$J$3:$J$98,$A90,'Alle ruter'!$AJ$3:$AJ$98,"&lt;="&amp;K$2)/2</f>
        <v>0</v>
      </c>
      <c r="L90" s="3">
        <f>SUMIFS('Alle ruter'!$AC$3:$AC$98,'Alle ruter'!$Z$3:$Z$98,"H2",'Alle ruter'!$I$3:$I$98,$A90,'Alle ruter'!$AJ$3:$AJ$98,"&lt;="&amp;L$2)/2+SUMIFS('Alle ruter'!$AC$3:$AC$98,'Alle ruter'!$Z$3:$Z$98,"H2",'Alle ruter'!$J$3:$J$98,$A90,'Alle ruter'!$AJ$3:$AJ$98,"&lt;="&amp;L$2)/2</f>
        <v>0</v>
      </c>
      <c r="M90" s="3">
        <f>SUMIFS('Alle ruter'!$AC$3:$AC$98,'Alle ruter'!$Z$3:$Z$98,"H2",'Alle ruter'!$I$3:$I$98,$A90,'Alle ruter'!$AJ$3:$AJ$98,"&lt;="&amp;M$2)/2+SUMIFS('Alle ruter'!$AC$3:$AC$98,'Alle ruter'!$Z$3:$Z$98,"H2",'Alle ruter'!$J$3:$J$98,$A90,'Alle ruter'!$AJ$3:$AJ$98,"&lt;="&amp;M$2)/2</f>
        <v>0</v>
      </c>
      <c r="N90" s="3">
        <f>SUMIFS('Alle ruter'!$AC$3:$AC$98,'Alle ruter'!$Z$3:$Z$98,"H2",'Alle ruter'!$I$3:$I$98,$A90,'Alle ruter'!$AJ$3:$AJ$98,"&lt;="&amp;N$2)/2+SUMIFS('Alle ruter'!$AC$3:$AC$98,'Alle ruter'!$Z$3:$Z$98,"H2",'Alle ruter'!$J$3:$J$98,$A90,'Alle ruter'!$AJ$3:$AJ$98,"&lt;="&amp;N$2)/2</f>
        <v>0</v>
      </c>
      <c r="O90" s="3">
        <f>SUMIFS('Alle ruter'!$AC$3:$AC$98,'Alle ruter'!$Z$3:$Z$98,"H2",'Alle ruter'!$I$3:$I$98,$A90,'Alle ruter'!$AJ$3:$AJ$98,"&lt;="&amp;O$2)/2+SUMIFS('Alle ruter'!$AC$3:$AC$98,'Alle ruter'!$Z$3:$Z$98,"H2",'Alle ruter'!$J$3:$J$98,$A90,'Alle ruter'!$AJ$3:$AJ$98,"&lt;="&amp;O$2)/2</f>
        <v>0</v>
      </c>
      <c r="P90" s="3">
        <f>SUMIFS('Alle ruter'!$AC$3:$AC$98,'Alle ruter'!$Z$3:$Z$98,"H2",'Alle ruter'!$I$3:$I$98,$A90,'Alle ruter'!$AJ$3:$AJ$98,"&lt;="&amp;P$2)/2+SUMIFS('Alle ruter'!$AC$3:$AC$98,'Alle ruter'!$Z$3:$Z$98,"H2",'Alle ruter'!$J$3:$J$98,$A90,'Alle ruter'!$AJ$3:$AJ$98,"&lt;="&amp;P$2)/2</f>
        <v>0</v>
      </c>
      <c r="Q90" s="3">
        <f>SUMIFS('Alle ruter'!$AC$3:$AC$98,'Alle ruter'!$Z$3:$Z$98,"H2",'Alle ruter'!$I$3:$I$98,$A90,'Alle ruter'!$AJ$3:$AJ$98,"&lt;="&amp;Q$2)/2+SUMIFS('Alle ruter'!$AC$3:$AC$98,'Alle ruter'!$Z$3:$Z$98,"H2",'Alle ruter'!$J$3:$J$98,$A90,'Alle ruter'!$AJ$3:$AJ$98,"&lt;="&amp;Q$2)/2</f>
        <v>0</v>
      </c>
      <c r="R90" s="3">
        <f>SUMIFS('Alle ruter'!$AC$3:$AC$98,'Alle ruter'!$Z$3:$Z$98,"H2",'Alle ruter'!$I$3:$I$98,$A90,'Alle ruter'!$AJ$3:$AJ$98,"&lt;="&amp;R$2)/2+SUMIFS('Alle ruter'!$AC$3:$AC$98,'Alle ruter'!$Z$3:$Z$98,"H2",'Alle ruter'!$J$3:$J$98,$A90,'Alle ruter'!$AJ$3:$AJ$98,"&lt;="&amp;R$2)/2</f>
        <v>0</v>
      </c>
      <c r="S90" s="3">
        <f>SUMIFS('Alle ruter'!$AC$3:$AC$98,'Alle ruter'!$Z$3:$Z$98,"H2",'Alle ruter'!$I$3:$I$98,$A90,'Alle ruter'!$AJ$3:$AJ$98,"&lt;="&amp;S$2)/2+SUMIFS('Alle ruter'!$AC$3:$AC$98,'Alle ruter'!$Z$3:$Z$98,"H2",'Alle ruter'!$J$3:$J$98,$A90,'Alle ruter'!$AJ$3:$AJ$98,"&lt;="&amp;S$2)/2</f>
        <v>0</v>
      </c>
      <c r="T90" s="3"/>
    </row>
    <row r="91" spans="1:20" x14ac:dyDescent="0.3">
      <c r="A91" t="s">
        <v>33</v>
      </c>
      <c r="C91" s="3">
        <f>COUNTIF('Alle ruter'!$I$3:$I$98,'H2 pr endeplass'!A91)+COUNTIFS('Alle ruter'!$J$3:$J$98,'H2 pr endeplass'!A91,'Alle ruter'!$K$3:$K$98,"Nei")</f>
        <v>1</v>
      </c>
      <c r="D91" s="3">
        <f>COUNTIFS('Alle ruter'!$I$3:$I$98,'H2 pr endeplass'!A91,'Alle ruter'!$Z$3:$Z$98,"H2")+COUNTIFS('Alle ruter'!$J$3:$J$98,'H2 pr endeplass'!A91,'Alle ruter'!$K$3:$K$98,"Nei",'Alle ruter'!$Z$3:$Z$98,"H2")</f>
        <v>0</v>
      </c>
      <c r="E91">
        <v>0</v>
      </c>
      <c r="F91" s="3">
        <f>SUMIFS('Alle ruter'!$AC$3:$AC$98,'Alle ruter'!$Z$3:$Z$98,"H2",'Alle ruter'!$I$3:$I$98,$A91,'Alle ruter'!$AJ$3:$AJ$98,"&lt;="&amp;F$2)/2+SUMIFS('Alle ruter'!$AC$3:$AC$98,'Alle ruter'!$Z$3:$Z$98,"H2",'Alle ruter'!$J$3:$J$98,$A91,'Alle ruter'!$AJ$3:$AJ$98,"&lt;="&amp;F$2)/2</f>
        <v>0</v>
      </c>
      <c r="G91" s="3">
        <f>SUMIFS('Alle ruter'!$AC$3:$AC$98,'Alle ruter'!$Z$3:$Z$98,"H2",'Alle ruter'!$I$3:$I$98,$A91,'Alle ruter'!$AJ$3:$AJ$98,"&lt;="&amp;G$2)/2+SUMIFS('Alle ruter'!$AC$3:$AC$98,'Alle ruter'!$Z$3:$Z$98,"H2",'Alle ruter'!$J$3:$J$98,$A91,'Alle ruter'!$AJ$3:$AJ$98,"&lt;="&amp;G$2)/2</f>
        <v>0</v>
      </c>
      <c r="H91" s="3">
        <f>SUMIFS('Alle ruter'!$AC$3:$AC$98,'Alle ruter'!$Z$3:$Z$98,"H2",'Alle ruter'!$I$3:$I$98,$A91,'Alle ruter'!$AJ$3:$AJ$98,"&lt;="&amp;H$2)/2+SUMIFS('Alle ruter'!$AC$3:$AC$98,'Alle ruter'!$Z$3:$Z$98,"H2",'Alle ruter'!$J$3:$J$98,$A91,'Alle ruter'!$AJ$3:$AJ$98,"&lt;="&amp;H$2)/2</f>
        <v>0</v>
      </c>
      <c r="I91" s="3">
        <f>SUMIFS('Alle ruter'!$AC$3:$AC$98,'Alle ruter'!$Z$3:$Z$98,"H2",'Alle ruter'!$I$3:$I$98,$A91,'Alle ruter'!$AJ$3:$AJ$98,"&lt;="&amp;I$2)/2+SUMIFS('Alle ruter'!$AC$3:$AC$98,'Alle ruter'!$Z$3:$Z$98,"H2",'Alle ruter'!$J$3:$J$98,$A91,'Alle ruter'!$AJ$3:$AJ$98,"&lt;="&amp;I$2)/2</f>
        <v>0</v>
      </c>
      <c r="J91" s="3">
        <f>SUMIFS('Alle ruter'!$AC$3:$AC$98,'Alle ruter'!$Z$3:$Z$98,"H2",'Alle ruter'!$I$3:$I$98,$A91,'Alle ruter'!$AJ$3:$AJ$98,"&lt;="&amp;J$2)/2+SUMIFS('Alle ruter'!$AC$3:$AC$98,'Alle ruter'!$Z$3:$Z$98,"H2",'Alle ruter'!$J$3:$J$98,$A91,'Alle ruter'!$AJ$3:$AJ$98,"&lt;="&amp;J$2)/2</f>
        <v>0</v>
      </c>
      <c r="K91" s="3">
        <f>SUMIFS('Alle ruter'!$AC$3:$AC$98,'Alle ruter'!$Z$3:$Z$98,"H2",'Alle ruter'!$I$3:$I$98,$A91,'Alle ruter'!$AJ$3:$AJ$98,"&lt;="&amp;K$2)/2+SUMIFS('Alle ruter'!$AC$3:$AC$98,'Alle ruter'!$Z$3:$Z$98,"H2",'Alle ruter'!$J$3:$J$98,$A91,'Alle ruter'!$AJ$3:$AJ$98,"&lt;="&amp;K$2)/2</f>
        <v>0</v>
      </c>
      <c r="L91" s="3">
        <f>SUMIFS('Alle ruter'!$AC$3:$AC$98,'Alle ruter'!$Z$3:$Z$98,"H2",'Alle ruter'!$I$3:$I$98,$A91,'Alle ruter'!$AJ$3:$AJ$98,"&lt;="&amp;L$2)/2+SUMIFS('Alle ruter'!$AC$3:$AC$98,'Alle ruter'!$Z$3:$Z$98,"H2",'Alle ruter'!$J$3:$J$98,$A91,'Alle ruter'!$AJ$3:$AJ$98,"&lt;="&amp;L$2)/2</f>
        <v>0</v>
      </c>
      <c r="M91" s="3">
        <f>SUMIFS('Alle ruter'!$AC$3:$AC$98,'Alle ruter'!$Z$3:$Z$98,"H2",'Alle ruter'!$I$3:$I$98,$A91,'Alle ruter'!$AJ$3:$AJ$98,"&lt;="&amp;M$2)/2+SUMIFS('Alle ruter'!$AC$3:$AC$98,'Alle ruter'!$Z$3:$Z$98,"H2",'Alle ruter'!$J$3:$J$98,$A91,'Alle ruter'!$AJ$3:$AJ$98,"&lt;="&amp;M$2)/2</f>
        <v>0</v>
      </c>
      <c r="N91" s="3">
        <f>SUMIFS('Alle ruter'!$AC$3:$AC$98,'Alle ruter'!$Z$3:$Z$98,"H2",'Alle ruter'!$I$3:$I$98,$A91,'Alle ruter'!$AJ$3:$AJ$98,"&lt;="&amp;N$2)/2+SUMIFS('Alle ruter'!$AC$3:$AC$98,'Alle ruter'!$Z$3:$Z$98,"H2",'Alle ruter'!$J$3:$J$98,$A91,'Alle ruter'!$AJ$3:$AJ$98,"&lt;="&amp;N$2)/2</f>
        <v>0</v>
      </c>
      <c r="O91" s="3">
        <f>SUMIFS('Alle ruter'!$AC$3:$AC$98,'Alle ruter'!$Z$3:$Z$98,"H2",'Alle ruter'!$I$3:$I$98,$A91,'Alle ruter'!$AJ$3:$AJ$98,"&lt;="&amp;O$2)/2+SUMIFS('Alle ruter'!$AC$3:$AC$98,'Alle ruter'!$Z$3:$Z$98,"H2",'Alle ruter'!$J$3:$J$98,$A91,'Alle ruter'!$AJ$3:$AJ$98,"&lt;="&amp;O$2)/2</f>
        <v>0</v>
      </c>
      <c r="P91" s="3">
        <f>SUMIFS('Alle ruter'!$AC$3:$AC$98,'Alle ruter'!$Z$3:$Z$98,"H2",'Alle ruter'!$I$3:$I$98,$A91,'Alle ruter'!$AJ$3:$AJ$98,"&lt;="&amp;P$2)/2+SUMIFS('Alle ruter'!$AC$3:$AC$98,'Alle ruter'!$Z$3:$Z$98,"H2",'Alle ruter'!$J$3:$J$98,$A91,'Alle ruter'!$AJ$3:$AJ$98,"&lt;="&amp;P$2)/2</f>
        <v>0</v>
      </c>
      <c r="Q91" s="3">
        <f>SUMIFS('Alle ruter'!$AC$3:$AC$98,'Alle ruter'!$Z$3:$Z$98,"H2",'Alle ruter'!$I$3:$I$98,$A91,'Alle ruter'!$AJ$3:$AJ$98,"&lt;="&amp;Q$2)/2+SUMIFS('Alle ruter'!$AC$3:$AC$98,'Alle ruter'!$Z$3:$Z$98,"H2",'Alle ruter'!$J$3:$J$98,$A91,'Alle ruter'!$AJ$3:$AJ$98,"&lt;="&amp;Q$2)/2</f>
        <v>0</v>
      </c>
      <c r="R91" s="3">
        <f>SUMIFS('Alle ruter'!$AC$3:$AC$98,'Alle ruter'!$Z$3:$Z$98,"H2",'Alle ruter'!$I$3:$I$98,$A91,'Alle ruter'!$AJ$3:$AJ$98,"&lt;="&amp;R$2)/2+SUMIFS('Alle ruter'!$AC$3:$AC$98,'Alle ruter'!$Z$3:$Z$98,"H2",'Alle ruter'!$J$3:$J$98,$A91,'Alle ruter'!$AJ$3:$AJ$98,"&lt;="&amp;R$2)/2</f>
        <v>0</v>
      </c>
      <c r="S91" s="3">
        <f>SUMIFS('Alle ruter'!$AC$3:$AC$98,'Alle ruter'!$Z$3:$Z$98,"H2",'Alle ruter'!$I$3:$I$98,$A91,'Alle ruter'!$AJ$3:$AJ$98,"&lt;="&amp;S$2)/2+SUMIFS('Alle ruter'!$AC$3:$AC$98,'Alle ruter'!$Z$3:$Z$98,"H2",'Alle ruter'!$J$3:$J$98,$A91,'Alle ruter'!$AJ$3:$AJ$98,"&lt;="&amp;S$2)/2</f>
        <v>0</v>
      </c>
      <c r="T91" s="3"/>
    </row>
    <row r="92" spans="1:20" x14ac:dyDescent="0.3">
      <c r="A92" t="s">
        <v>165</v>
      </c>
      <c r="C92" s="3">
        <f>COUNTIF('Alle ruter'!$I$3:$I$98,'H2 pr endeplass'!A92)+COUNTIFS('Alle ruter'!$J$3:$J$98,'H2 pr endeplass'!A92,'Alle ruter'!$K$3:$K$98,"Nei")</f>
        <v>1</v>
      </c>
      <c r="D92" s="3">
        <f>COUNTIFS('Alle ruter'!$I$3:$I$98,'H2 pr endeplass'!A92,'Alle ruter'!$Z$3:$Z$98,"H2")+COUNTIFS('Alle ruter'!$J$3:$J$98,'H2 pr endeplass'!A92,'Alle ruter'!$K$3:$K$98,"Nei",'Alle ruter'!$Z$3:$Z$98,"H2")</f>
        <v>0</v>
      </c>
      <c r="E92">
        <v>0</v>
      </c>
      <c r="F92" s="3">
        <f>SUMIFS('Alle ruter'!$AC$3:$AC$98,'Alle ruter'!$Z$3:$Z$98,"H2",'Alle ruter'!$I$3:$I$98,$A92,'Alle ruter'!$AJ$3:$AJ$98,"&lt;="&amp;F$2)/2+SUMIFS('Alle ruter'!$AC$3:$AC$98,'Alle ruter'!$Z$3:$Z$98,"H2",'Alle ruter'!$J$3:$J$98,$A92,'Alle ruter'!$AJ$3:$AJ$98,"&lt;="&amp;F$2)/2</f>
        <v>0</v>
      </c>
      <c r="G92" s="3">
        <f>SUMIFS('Alle ruter'!$AC$3:$AC$98,'Alle ruter'!$Z$3:$Z$98,"H2",'Alle ruter'!$I$3:$I$98,$A92,'Alle ruter'!$AJ$3:$AJ$98,"&lt;="&amp;G$2)/2+SUMIFS('Alle ruter'!$AC$3:$AC$98,'Alle ruter'!$Z$3:$Z$98,"H2",'Alle ruter'!$J$3:$J$98,$A92,'Alle ruter'!$AJ$3:$AJ$98,"&lt;="&amp;G$2)/2</f>
        <v>0</v>
      </c>
      <c r="H92" s="3">
        <f>SUMIFS('Alle ruter'!$AC$3:$AC$98,'Alle ruter'!$Z$3:$Z$98,"H2",'Alle ruter'!$I$3:$I$98,$A92,'Alle ruter'!$AJ$3:$AJ$98,"&lt;="&amp;H$2)/2+SUMIFS('Alle ruter'!$AC$3:$AC$98,'Alle ruter'!$Z$3:$Z$98,"H2",'Alle ruter'!$J$3:$J$98,$A92,'Alle ruter'!$AJ$3:$AJ$98,"&lt;="&amp;H$2)/2</f>
        <v>0</v>
      </c>
      <c r="I92" s="3">
        <f>SUMIFS('Alle ruter'!$AC$3:$AC$98,'Alle ruter'!$Z$3:$Z$98,"H2",'Alle ruter'!$I$3:$I$98,$A92,'Alle ruter'!$AJ$3:$AJ$98,"&lt;="&amp;I$2)/2+SUMIFS('Alle ruter'!$AC$3:$AC$98,'Alle ruter'!$Z$3:$Z$98,"H2",'Alle ruter'!$J$3:$J$98,$A92,'Alle ruter'!$AJ$3:$AJ$98,"&lt;="&amp;I$2)/2</f>
        <v>0</v>
      </c>
      <c r="J92" s="3">
        <f>SUMIFS('Alle ruter'!$AC$3:$AC$98,'Alle ruter'!$Z$3:$Z$98,"H2",'Alle ruter'!$I$3:$I$98,$A92,'Alle ruter'!$AJ$3:$AJ$98,"&lt;="&amp;J$2)/2+SUMIFS('Alle ruter'!$AC$3:$AC$98,'Alle ruter'!$Z$3:$Z$98,"H2",'Alle ruter'!$J$3:$J$98,$A92,'Alle ruter'!$AJ$3:$AJ$98,"&lt;="&amp;J$2)/2</f>
        <v>0</v>
      </c>
      <c r="K92" s="3">
        <f>SUMIFS('Alle ruter'!$AC$3:$AC$98,'Alle ruter'!$Z$3:$Z$98,"H2",'Alle ruter'!$I$3:$I$98,$A92,'Alle ruter'!$AJ$3:$AJ$98,"&lt;="&amp;K$2)/2+SUMIFS('Alle ruter'!$AC$3:$AC$98,'Alle ruter'!$Z$3:$Z$98,"H2",'Alle ruter'!$J$3:$J$98,$A92,'Alle ruter'!$AJ$3:$AJ$98,"&lt;="&amp;K$2)/2</f>
        <v>0</v>
      </c>
      <c r="L92" s="3">
        <f>SUMIFS('Alle ruter'!$AC$3:$AC$98,'Alle ruter'!$Z$3:$Z$98,"H2",'Alle ruter'!$I$3:$I$98,$A92,'Alle ruter'!$AJ$3:$AJ$98,"&lt;="&amp;L$2)/2+SUMIFS('Alle ruter'!$AC$3:$AC$98,'Alle ruter'!$Z$3:$Z$98,"H2",'Alle ruter'!$J$3:$J$98,$A92,'Alle ruter'!$AJ$3:$AJ$98,"&lt;="&amp;L$2)/2</f>
        <v>0</v>
      </c>
      <c r="M92" s="3">
        <f>SUMIFS('Alle ruter'!$AC$3:$AC$98,'Alle ruter'!$Z$3:$Z$98,"H2",'Alle ruter'!$I$3:$I$98,$A92,'Alle ruter'!$AJ$3:$AJ$98,"&lt;="&amp;M$2)/2+SUMIFS('Alle ruter'!$AC$3:$AC$98,'Alle ruter'!$Z$3:$Z$98,"H2",'Alle ruter'!$J$3:$J$98,$A92,'Alle ruter'!$AJ$3:$AJ$98,"&lt;="&amp;M$2)/2</f>
        <v>0</v>
      </c>
      <c r="N92" s="3">
        <f>SUMIFS('Alle ruter'!$AC$3:$AC$98,'Alle ruter'!$Z$3:$Z$98,"H2",'Alle ruter'!$I$3:$I$98,$A92,'Alle ruter'!$AJ$3:$AJ$98,"&lt;="&amp;N$2)/2+SUMIFS('Alle ruter'!$AC$3:$AC$98,'Alle ruter'!$Z$3:$Z$98,"H2",'Alle ruter'!$J$3:$J$98,$A92,'Alle ruter'!$AJ$3:$AJ$98,"&lt;="&amp;N$2)/2</f>
        <v>0</v>
      </c>
      <c r="O92" s="3">
        <f>SUMIFS('Alle ruter'!$AC$3:$AC$98,'Alle ruter'!$Z$3:$Z$98,"H2",'Alle ruter'!$I$3:$I$98,$A92,'Alle ruter'!$AJ$3:$AJ$98,"&lt;="&amp;O$2)/2+SUMIFS('Alle ruter'!$AC$3:$AC$98,'Alle ruter'!$Z$3:$Z$98,"H2",'Alle ruter'!$J$3:$J$98,$A92,'Alle ruter'!$AJ$3:$AJ$98,"&lt;="&amp;O$2)/2</f>
        <v>0</v>
      </c>
      <c r="P92" s="3">
        <f>SUMIFS('Alle ruter'!$AC$3:$AC$98,'Alle ruter'!$Z$3:$Z$98,"H2",'Alle ruter'!$I$3:$I$98,$A92,'Alle ruter'!$AJ$3:$AJ$98,"&lt;="&amp;P$2)/2+SUMIFS('Alle ruter'!$AC$3:$AC$98,'Alle ruter'!$Z$3:$Z$98,"H2",'Alle ruter'!$J$3:$J$98,$A92,'Alle ruter'!$AJ$3:$AJ$98,"&lt;="&amp;P$2)/2</f>
        <v>0</v>
      </c>
      <c r="Q92" s="3">
        <f>SUMIFS('Alle ruter'!$AC$3:$AC$98,'Alle ruter'!$Z$3:$Z$98,"H2",'Alle ruter'!$I$3:$I$98,$A92,'Alle ruter'!$AJ$3:$AJ$98,"&lt;="&amp;Q$2)/2+SUMIFS('Alle ruter'!$AC$3:$AC$98,'Alle ruter'!$Z$3:$Z$98,"H2",'Alle ruter'!$J$3:$J$98,$A92,'Alle ruter'!$AJ$3:$AJ$98,"&lt;="&amp;Q$2)/2</f>
        <v>0</v>
      </c>
      <c r="R92" s="3">
        <f>SUMIFS('Alle ruter'!$AC$3:$AC$98,'Alle ruter'!$Z$3:$Z$98,"H2",'Alle ruter'!$I$3:$I$98,$A92,'Alle ruter'!$AJ$3:$AJ$98,"&lt;="&amp;R$2)/2+SUMIFS('Alle ruter'!$AC$3:$AC$98,'Alle ruter'!$Z$3:$Z$98,"H2",'Alle ruter'!$J$3:$J$98,$A92,'Alle ruter'!$AJ$3:$AJ$98,"&lt;="&amp;R$2)/2</f>
        <v>0</v>
      </c>
      <c r="S92" s="3">
        <f>SUMIFS('Alle ruter'!$AC$3:$AC$98,'Alle ruter'!$Z$3:$Z$98,"H2",'Alle ruter'!$I$3:$I$98,$A92,'Alle ruter'!$AJ$3:$AJ$98,"&lt;="&amp;S$2)/2+SUMIFS('Alle ruter'!$AC$3:$AC$98,'Alle ruter'!$Z$3:$Z$98,"H2",'Alle ruter'!$J$3:$J$98,$A92,'Alle ruter'!$AJ$3:$AJ$98,"&lt;="&amp;S$2)/2</f>
        <v>0</v>
      </c>
      <c r="T92" s="3"/>
    </row>
    <row r="93" spans="1:20" x14ac:dyDescent="0.3">
      <c r="A93" t="s">
        <v>167</v>
      </c>
      <c r="C93" s="3">
        <f>COUNTIF('Alle ruter'!$I$3:$I$98,'H2 pr endeplass'!A93)+COUNTIFS('Alle ruter'!$J$3:$J$98,'H2 pr endeplass'!A93,'Alle ruter'!$K$3:$K$98,"Nei")</f>
        <v>1</v>
      </c>
      <c r="D93" s="3">
        <f>COUNTIFS('Alle ruter'!$I$3:$I$98,'H2 pr endeplass'!A93,'Alle ruter'!$Z$3:$Z$98,"H2")+COUNTIFS('Alle ruter'!$J$3:$J$98,'H2 pr endeplass'!A93,'Alle ruter'!$K$3:$K$98,"Nei",'Alle ruter'!$Z$3:$Z$98,"H2")</f>
        <v>0</v>
      </c>
      <c r="E93">
        <v>0</v>
      </c>
      <c r="F93" s="3">
        <f>SUMIFS('Alle ruter'!$AC$3:$AC$98,'Alle ruter'!$Z$3:$Z$98,"H2",'Alle ruter'!$I$3:$I$98,$A93,'Alle ruter'!$AJ$3:$AJ$98,"&lt;="&amp;F$2)/2+SUMIFS('Alle ruter'!$AC$3:$AC$98,'Alle ruter'!$Z$3:$Z$98,"H2",'Alle ruter'!$J$3:$J$98,$A93,'Alle ruter'!$AJ$3:$AJ$98,"&lt;="&amp;F$2)/2</f>
        <v>0</v>
      </c>
      <c r="G93" s="3">
        <f>SUMIFS('Alle ruter'!$AC$3:$AC$98,'Alle ruter'!$Z$3:$Z$98,"H2",'Alle ruter'!$I$3:$I$98,$A93,'Alle ruter'!$AJ$3:$AJ$98,"&lt;="&amp;G$2)/2+SUMIFS('Alle ruter'!$AC$3:$AC$98,'Alle ruter'!$Z$3:$Z$98,"H2",'Alle ruter'!$J$3:$J$98,$A93,'Alle ruter'!$AJ$3:$AJ$98,"&lt;="&amp;G$2)/2</f>
        <v>0</v>
      </c>
      <c r="H93" s="3">
        <f>SUMIFS('Alle ruter'!$AC$3:$AC$98,'Alle ruter'!$Z$3:$Z$98,"H2",'Alle ruter'!$I$3:$I$98,$A93,'Alle ruter'!$AJ$3:$AJ$98,"&lt;="&amp;H$2)/2+SUMIFS('Alle ruter'!$AC$3:$AC$98,'Alle ruter'!$Z$3:$Z$98,"H2",'Alle ruter'!$J$3:$J$98,$A93,'Alle ruter'!$AJ$3:$AJ$98,"&lt;="&amp;H$2)/2</f>
        <v>0</v>
      </c>
      <c r="I93" s="3">
        <f>SUMIFS('Alle ruter'!$AC$3:$AC$98,'Alle ruter'!$Z$3:$Z$98,"H2",'Alle ruter'!$I$3:$I$98,$A93,'Alle ruter'!$AJ$3:$AJ$98,"&lt;="&amp;I$2)/2+SUMIFS('Alle ruter'!$AC$3:$AC$98,'Alle ruter'!$Z$3:$Z$98,"H2",'Alle ruter'!$J$3:$J$98,$A93,'Alle ruter'!$AJ$3:$AJ$98,"&lt;="&amp;I$2)/2</f>
        <v>0</v>
      </c>
      <c r="J93" s="3">
        <f>SUMIFS('Alle ruter'!$AC$3:$AC$98,'Alle ruter'!$Z$3:$Z$98,"H2",'Alle ruter'!$I$3:$I$98,$A93,'Alle ruter'!$AJ$3:$AJ$98,"&lt;="&amp;J$2)/2+SUMIFS('Alle ruter'!$AC$3:$AC$98,'Alle ruter'!$Z$3:$Z$98,"H2",'Alle ruter'!$J$3:$J$98,$A93,'Alle ruter'!$AJ$3:$AJ$98,"&lt;="&amp;J$2)/2</f>
        <v>0</v>
      </c>
      <c r="K93" s="3">
        <f>SUMIFS('Alle ruter'!$AC$3:$AC$98,'Alle ruter'!$Z$3:$Z$98,"H2",'Alle ruter'!$I$3:$I$98,$A93,'Alle ruter'!$AJ$3:$AJ$98,"&lt;="&amp;K$2)/2+SUMIFS('Alle ruter'!$AC$3:$AC$98,'Alle ruter'!$Z$3:$Z$98,"H2",'Alle ruter'!$J$3:$J$98,$A93,'Alle ruter'!$AJ$3:$AJ$98,"&lt;="&amp;K$2)/2</f>
        <v>0</v>
      </c>
      <c r="L93" s="3">
        <f>SUMIFS('Alle ruter'!$AC$3:$AC$98,'Alle ruter'!$Z$3:$Z$98,"H2",'Alle ruter'!$I$3:$I$98,$A93,'Alle ruter'!$AJ$3:$AJ$98,"&lt;="&amp;L$2)/2+SUMIFS('Alle ruter'!$AC$3:$AC$98,'Alle ruter'!$Z$3:$Z$98,"H2",'Alle ruter'!$J$3:$J$98,$A93,'Alle ruter'!$AJ$3:$AJ$98,"&lt;="&amp;L$2)/2</f>
        <v>0</v>
      </c>
      <c r="M93" s="3">
        <f>SUMIFS('Alle ruter'!$AC$3:$AC$98,'Alle ruter'!$Z$3:$Z$98,"H2",'Alle ruter'!$I$3:$I$98,$A93,'Alle ruter'!$AJ$3:$AJ$98,"&lt;="&amp;M$2)/2+SUMIFS('Alle ruter'!$AC$3:$AC$98,'Alle ruter'!$Z$3:$Z$98,"H2",'Alle ruter'!$J$3:$J$98,$A93,'Alle ruter'!$AJ$3:$AJ$98,"&lt;="&amp;M$2)/2</f>
        <v>0</v>
      </c>
      <c r="N93" s="3">
        <f>SUMIFS('Alle ruter'!$AC$3:$AC$98,'Alle ruter'!$Z$3:$Z$98,"H2",'Alle ruter'!$I$3:$I$98,$A93,'Alle ruter'!$AJ$3:$AJ$98,"&lt;="&amp;N$2)/2+SUMIFS('Alle ruter'!$AC$3:$AC$98,'Alle ruter'!$Z$3:$Z$98,"H2",'Alle ruter'!$J$3:$J$98,$A93,'Alle ruter'!$AJ$3:$AJ$98,"&lt;="&amp;N$2)/2</f>
        <v>0</v>
      </c>
      <c r="O93" s="3">
        <f>SUMIFS('Alle ruter'!$AC$3:$AC$98,'Alle ruter'!$Z$3:$Z$98,"H2",'Alle ruter'!$I$3:$I$98,$A93,'Alle ruter'!$AJ$3:$AJ$98,"&lt;="&amp;O$2)/2+SUMIFS('Alle ruter'!$AC$3:$AC$98,'Alle ruter'!$Z$3:$Z$98,"H2",'Alle ruter'!$J$3:$J$98,$A93,'Alle ruter'!$AJ$3:$AJ$98,"&lt;="&amp;O$2)/2</f>
        <v>0</v>
      </c>
      <c r="P93" s="3">
        <f>SUMIFS('Alle ruter'!$AC$3:$AC$98,'Alle ruter'!$Z$3:$Z$98,"H2",'Alle ruter'!$I$3:$I$98,$A93,'Alle ruter'!$AJ$3:$AJ$98,"&lt;="&amp;P$2)/2+SUMIFS('Alle ruter'!$AC$3:$AC$98,'Alle ruter'!$Z$3:$Z$98,"H2",'Alle ruter'!$J$3:$J$98,$A93,'Alle ruter'!$AJ$3:$AJ$98,"&lt;="&amp;P$2)/2</f>
        <v>0</v>
      </c>
      <c r="Q93" s="3">
        <f>SUMIFS('Alle ruter'!$AC$3:$AC$98,'Alle ruter'!$Z$3:$Z$98,"H2",'Alle ruter'!$I$3:$I$98,$A93,'Alle ruter'!$AJ$3:$AJ$98,"&lt;="&amp;Q$2)/2+SUMIFS('Alle ruter'!$AC$3:$AC$98,'Alle ruter'!$Z$3:$Z$98,"H2",'Alle ruter'!$J$3:$J$98,$A93,'Alle ruter'!$AJ$3:$AJ$98,"&lt;="&amp;Q$2)/2</f>
        <v>0</v>
      </c>
      <c r="R93" s="3">
        <f>SUMIFS('Alle ruter'!$AC$3:$AC$98,'Alle ruter'!$Z$3:$Z$98,"H2",'Alle ruter'!$I$3:$I$98,$A93,'Alle ruter'!$AJ$3:$AJ$98,"&lt;="&amp;R$2)/2+SUMIFS('Alle ruter'!$AC$3:$AC$98,'Alle ruter'!$Z$3:$Z$98,"H2",'Alle ruter'!$J$3:$J$98,$A93,'Alle ruter'!$AJ$3:$AJ$98,"&lt;="&amp;R$2)/2</f>
        <v>0</v>
      </c>
      <c r="S93" s="3">
        <f>SUMIFS('Alle ruter'!$AC$3:$AC$98,'Alle ruter'!$Z$3:$Z$98,"H2",'Alle ruter'!$I$3:$I$98,$A93,'Alle ruter'!$AJ$3:$AJ$98,"&lt;="&amp;S$2)/2+SUMIFS('Alle ruter'!$AC$3:$AC$98,'Alle ruter'!$Z$3:$Z$98,"H2",'Alle ruter'!$J$3:$J$98,$A93,'Alle ruter'!$AJ$3:$AJ$98,"&lt;="&amp;S$2)/2</f>
        <v>0</v>
      </c>
      <c r="T93" s="3"/>
    </row>
    <row r="94" spans="1:20" x14ac:dyDescent="0.3">
      <c r="A94" t="s">
        <v>195</v>
      </c>
      <c r="C94" s="3">
        <f>COUNTIF('Alle ruter'!$I$3:$I$98,'H2 pr endeplass'!A94)+COUNTIFS('Alle ruter'!$J$3:$J$98,'H2 pr endeplass'!A94,'Alle ruter'!$K$3:$K$98,"Nei")</f>
        <v>1</v>
      </c>
      <c r="D94" s="3">
        <f>COUNTIFS('Alle ruter'!$I$3:$I$98,'H2 pr endeplass'!A94,'Alle ruter'!$Z$3:$Z$98,"H2")+COUNTIFS('Alle ruter'!$J$3:$J$98,'H2 pr endeplass'!A94,'Alle ruter'!$K$3:$K$98,"Nei",'Alle ruter'!$Z$3:$Z$98,"H2")</f>
        <v>0</v>
      </c>
      <c r="E94">
        <v>0</v>
      </c>
      <c r="F94" s="3">
        <f>SUMIFS('Alle ruter'!$AC$3:$AC$98,'Alle ruter'!$Z$3:$Z$98,"H2",'Alle ruter'!$I$3:$I$98,$A94,'Alle ruter'!$AJ$3:$AJ$98,"&lt;="&amp;F$2)/2+SUMIFS('Alle ruter'!$AC$3:$AC$98,'Alle ruter'!$Z$3:$Z$98,"H2",'Alle ruter'!$J$3:$J$98,$A94,'Alle ruter'!$AJ$3:$AJ$98,"&lt;="&amp;F$2)/2</f>
        <v>0</v>
      </c>
      <c r="G94" s="3">
        <f>SUMIFS('Alle ruter'!$AC$3:$AC$98,'Alle ruter'!$Z$3:$Z$98,"H2",'Alle ruter'!$I$3:$I$98,$A94,'Alle ruter'!$AJ$3:$AJ$98,"&lt;="&amp;G$2)/2+SUMIFS('Alle ruter'!$AC$3:$AC$98,'Alle ruter'!$Z$3:$Z$98,"H2",'Alle ruter'!$J$3:$J$98,$A94,'Alle ruter'!$AJ$3:$AJ$98,"&lt;="&amp;G$2)/2</f>
        <v>0</v>
      </c>
      <c r="H94" s="3">
        <f>SUMIFS('Alle ruter'!$AC$3:$AC$98,'Alle ruter'!$Z$3:$Z$98,"H2",'Alle ruter'!$I$3:$I$98,$A94,'Alle ruter'!$AJ$3:$AJ$98,"&lt;="&amp;H$2)/2+SUMIFS('Alle ruter'!$AC$3:$AC$98,'Alle ruter'!$Z$3:$Z$98,"H2",'Alle ruter'!$J$3:$J$98,$A94,'Alle ruter'!$AJ$3:$AJ$98,"&lt;="&amp;H$2)/2</f>
        <v>0</v>
      </c>
      <c r="I94" s="3">
        <f>SUMIFS('Alle ruter'!$AC$3:$AC$98,'Alle ruter'!$Z$3:$Z$98,"H2",'Alle ruter'!$I$3:$I$98,$A94,'Alle ruter'!$AJ$3:$AJ$98,"&lt;="&amp;I$2)/2+SUMIFS('Alle ruter'!$AC$3:$AC$98,'Alle ruter'!$Z$3:$Z$98,"H2",'Alle ruter'!$J$3:$J$98,$A94,'Alle ruter'!$AJ$3:$AJ$98,"&lt;="&amp;I$2)/2</f>
        <v>0</v>
      </c>
      <c r="J94" s="3">
        <f>SUMIFS('Alle ruter'!$AC$3:$AC$98,'Alle ruter'!$Z$3:$Z$98,"H2",'Alle ruter'!$I$3:$I$98,$A94,'Alle ruter'!$AJ$3:$AJ$98,"&lt;="&amp;J$2)/2+SUMIFS('Alle ruter'!$AC$3:$AC$98,'Alle ruter'!$Z$3:$Z$98,"H2",'Alle ruter'!$J$3:$J$98,$A94,'Alle ruter'!$AJ$3:$AJ$98,"&lt;="&amp;J$2)/2</f>
        <v>0</v>
      </c>
      <c r="K94" s="3">
        <f>SUMIFS('Alle ruter'!$AC$3:$AC$98,'Alle ruter'!$Z$3:$Z$98,"H2",'Alle ruter'!$I$3:$I$98,$A94,'Alle ruter'!$AJ$3:$AJ$98,"&lt;="&amp;K$2)/2+SUMIFS('Alle ruter'!$AC$3:$AC$98,'Alle ruter'!$Z$3:$Z$98,"H2",'Alle ruter'!$J$3:$J$98,$A94,'Alle ruter'!$AJ$3:$AJ$98,"&lt;="&amp;K$2)/2</f>
        <v>0</v>
      </c>
      <c r="L94" s="3">
        <f>SUMIFS('Alle ruter'!$AC$3:$AC$98,'Alle ruter'!$Z$3:$Z$98,"H2",'Alle ruter'!$I$3:$I$98,$A94,'Alle ruter'!$AJ$3:$AJ$98,"&lt;="&amp;L$2)/2+SUMIFS('Alle ruter'!$AC$3:$AC$98,'Alle ruter'!$Z$3:$Z$98,"H2",'Alle ruter'!$J$3:$J$98,$A94,'Alle ruter'!$AJ$3:$AJ$98,"&lt;="&amp;L$2)/2</f>
        <v>0</v>
      </c>
      <c r="M94" s="3">
        <f>SUMIFS('Alle ruter'!$AC$3:$AC$98,'Alle ruter'!$Z$3:$Z$98,"H2",'Alle ruter'!$I$3:$I$98,$A94,'Alle ruter'!$AJ$3:$AJ$98,"&lt;="&amp;M$2)/2+SUMIFS('Alle ruter'!$AC$3:$AC$98,'Alle ruter'!$Z$3:$Z$98,"H2",'Alle ruter'!$J$3:$J$98,$A94,'Alle ruter'!$AJ$3:$AJ$98,"&lt;="&amp;M$2)/2</f>
        <v>0</v>
      </c>
      <c r="N94" s="3">
        <f>SUMIFS('Alle ruter'!$AC$3:$AC$98,'Alle ruter'!$Z$3:$Z$98,"H2",'Alle ruter'!$I$3:$I$98,$A94,'Alle ruter'!$AJ$3:$AJ$98,"&lt;="&amp;N$2)/2+SUMIFS('Alle ruter'!$AC$3:$AC$98,'Alle ruter'!$Z$3:$Z$98,"H2",'Alle ruter'!$J$3:$J$98,$A94,'Alle ruter'!$AJ$3:$AJ$98,"&lt;="&amp;N$2)/2</f>
        <v>0</v>
      </c>
      <c r="O94" s="3">
        <f>SUMIFS('Alle ruter'!$AC$3:$AC$98,'Alle ruter'!$Z$3:$Z$98,"H2",'Alle ruter'!$I$3:$I$98,$A94,'Alle ruter'!$AJ$3:$AJ$98,"&lt;="&amp;O$2)/2+SUMIFS('Alle ruter'!$AC$3:$AC$98,'Alle ruter'!$Z$3:$Z$98,"H2",'Alle ruter'!$J$3:$J$98,$A94,'Alle ruter'!$AJ$3:$AJ$98,"&lt;="&amp;O$2)/2</f>
        <v>0</v>
      </c>
      <c r="P94" s="3">
        <f>SUMIFS('Alle ruter'!$AC$3:$AC$98,'Alle ruter'!$Z$3:$Z$98,"H2",'Alle ruter'!$I$3:$I$98,$A94,'Alle ruter'!$AJ$3:$AJ$98,"&lt;="&amp;P$2)/2+SUMIFS('Alle ruter'!$AC$3:$AC$98,'Alle ruter'!$Z$3:$Z$98,"H2",'Alle ruter'!$J$3:$J$98,$A94,'Alle ruter'!$AJ$3:$AJ$98,"&lt;="&amp;P$2)/2</f>
        <v>0</v>
      </c>
      <c r="Q94" s="3">
        <f>SUMIFS('Alle ruter'!$AC$3:$AC$98,'Alle ruter'!$Z$3:$Z$98,"H2",'Alle ruter'!$I$3:$I$98,$A94,'Alle ruter'!$AJ$3:$AJ$98,"&lt;="&amp;Q$2)/2+SUMIFS('Alle ruter'!$AC$3:$AC$98,'Alle ruter'!$Z$3:$Z$98,"H2",'Alle ruter'!$J$3:$J$98,$A94,'Alle ruter'!$AJ$3:$AJ$98,"&lt;="&amp;Q$2)/2</f>
        <v>0</v>
      </c>
      <c r="R94" s="3">
        <f>SUMIFS('Alle ruter'!$AC$3:$AC$98,'Alle ruter'!$Z$3:$Z$98,"H2",'Alle ruter'!$I$3:$I$98,$A94,'Alle ruter'!$AJ$3:$AJ$98,"&lt;="&amp;R$2)/2+SUMIFS('Alle ruter'!$AC$3:$AC$98,'Alle ruter'!$Z$3:$Z$98,"H2",'Alle ruter'!$J$3:$J$98,$A94,'Alle ruter'!$AJ$3:$AJ$98,"&lt;="&amp;R$2)/2</f>
        <v>0</v>
      </c>
      <c r="S94" s="3">
        <f>SUMIFS('Alle ruter'!$AC$3:$AC$98,'Alle ruter'!$Z$3:$Z$98,"H2",'Alle ruter'!$I$3:$I$98,$A94,'Alle ruter'!$AJ$3:$AJ$98,"&lt;="&amp;S$2)/2+SUMIFS('Alle ruter'!$AC$3:$AC$98,'Alle ruter'!$Z$3:$Z$98,"H2",'Alle ruter'!$J$3:$J$98,$A94,'Alle ruter'!$AJ$3:$AJ$98,"&lt;="&amp;S$2)/2</f>
        <v>0</v>
      </c>
      <c r="T94" s="3"/>
    </row>
    <row r="95" spans="1:20" x14ac:dyDescent="0.3">
      <c r="A95" t="s">
        <v>196</v>
      </c>
      <c r="C95" s="3">
        <f>COUNTIF('Alle ruter'!$I$3:$I$98,'H2 pr endeplass'!A95)+COUNTIFS('Alle ruter'!$J$3:$J$98,'H2 pr endeplass'!A95,'Alle ruter'!$K$3:$K$98,"Nei")</f>
        <v>1</v>
      </c>
      <c r="D95" s="3">
        <f>COUNTIFS('Alle ruter'!$I$3:$I$98,'H2 pr endeplass'!A95,'Alle ruter'!$Z$3:$Z$98,"H2")+COUNTIFS('Alle ruter'!$J$3:$J$98,'H2 pr endeplass'!A95,'Alle ruter'!$K$3:$K$98,"Nei",'Alle ruter'!$Z$3:$Z$98,"H2")</f>
        <v>0</v>
      </c>
      <c r="E95">
        <v>0</v>
      </c>
      <c r="F95" s="3">
        <f>SUMIFS('Alle ruter'!$AC$3:$AC$98,'Alle ruter'!$Z$3:$Z$98,"H2",'Alle ruter'!$I$3:$I$98,$A95,'Alle ruter'!$AJ$3:$AJ$98,"&lt;="&amp;F$2)/2+SUMIFS('Alle ruter'!$AC$3:$AC$98,'Alle ruter'!$Z$3:$Z$98,"H2",'Alle ruter'!$J$3:$J$98,$A95,'Alle ruter'!$AJ$3:$AJ$98,"&lt;="&amp;F$2)/2</f>
        <v>0</v>
      </c>
      <c r="G95" s="3">
        <f>SUMIFS('Alle ruter'!$AC$3:$AC$98,'Alle ruter'!$Z$3:$Z$98,"H2",'Alle ruter'!$I$3:$I$98,$A95,'Alle ruter'!$AJ$3:$AJ$98,"&lt;="&amp;G$2)/2+SUMIFS('Alle ruter'!$AC$3:$AC$98,'Alle ruter'!$Z$3:$Z$98,"H2",'Alle ruter'!$J$3:$J$98,$A95,'Alle ruter'!$AJ$3:$AJ$98,"&lt;="&amp;G$2)/2</f>
        <v>0</v>
      </c>
      <c r="H95" s="3">
        <f>SUMIFS('Alle ruter'!$AC$3:$AC$98,'Alle ruter'!$Z$3:$Z$98,"H2",'Alle ruter'!$I$3:$I$98,$A95,'Alle ruter'!$AJ$3:$AJ$98,"&lt;="&amp;H$2)/2+SUMIFS('Alle ruter'!$AC$3:$AC$98,'Alle ruter'!$Z$3:$Z$98,"H2",'Alle ruter'!$J$3:$J$98,$A95,'Alle ruter'!$AJ$3:$AJ$98,"&lt;="&amp;H$2)/2</f>
        <v>0</v>
      </c>
      <c r="I95" s="3">
        <f>SUMIFS('Alle ruter'!$AC$3:$AC$98,'Alle ruter'!$Z$3:$Z$98,"H2",'Alle ruter'!$I$3:$I$98,$A95,'Alle ruter'!$AJ$3:$AJ$98,"&lt;="&amp;I$2)/2+SUMIFS('Alle ruter'!$AC$3:$AC$98,'Alle ruter'!$Z$3:$Z$98,"H2",'Alle ruter'!$J$3:$J$98,$A95,'Alle ruter'!$AJ$3:$AJ$98,"&lt;="&amp;I$2)/2</f>
        <v>0</v>
      </c>
      <c r="J95" s="3">
        <f>SUMIFS('Alle ruter'!$AC$3:$AC$98,'Alle ruter'!$Z$3:$Z$98,"H2",'Alle ruter'!$I$3:$I$98,$A95,'Alle ruter'!$AJ$3:$AJ$98,"&lt;="&amp;J$2)/2+SUMIFS('Alle ruter'!$AC$3:$AC$98,'Alle ruter'!$Z$3:$Z$98,"H2",'Alle ruter'!$J$3:$J$98,$A95,'Alle ruter'!$AJ$3:$AJ$98,"&lt;="&amp;J$2)/2</f>
        <v>0</v>
      </c>
      <c r="K95" s="3">
        <f>SUMIFS('Alle ruter'!$AC$3:$AC$98,'Alle ruter'!$Z$3:$Z$98,"H2",'Alle ruter'!$I$3:$I$98,$A95,'Alle ruter'!$AJ$3:$AJ$98,"&lt;="&amp;K$2)/2+SUMIFS('Alle ruter'!$AC$3:$AC$98,'Alle ruter'!$Z$3:$Z$98,"H2",'Alle ruter'!$J$3:$J$98,$A95,'Alle ruter'!$AJ$3:$AJ$98,"&lt;="&amp;K$2)/2</f>
        <v>0</v>
      </c>
      <c r="L95" s="3">
        <f>SUMIFS('Alle ruter'!$AC$3:$AC$98,'Alle ruter'!$Z$3:$Z$98,"H2",'Alle ruter'!$I$3:$I$98,$A95,'Alle ruter'!$AJ$3:$AJ$98,"&lt;="&amp;L$2)/2+SUMIFS('Alle ruter'!$AC$3:$AC$98,'Alle ruter'!$Z$3:$Z$98,"H2",'Alle ruter'!$J$3:$J$98,$A95,'Alle ruter'!$AJ$3:$AJ$98,"&lt;="&amp;L$2)/2</f>
        <v>0</v>
      </c>
      <c r="M95" s="3">
        <f>SUMIFS('Alle ruter'!$AC$3:$AC$98,'Alle ruter'!$Z$3:$Z$98,"H2",'Alle ruter'!$I$3:$I$98,$A95,'Alle ruter'!$AJ$3:$AJ$98,"&lt;="&amp;M$2)/2+SUMIFS('Alle ruter'!$AC$3:$AC$98,'Alle ruter'!$Z$3:$Z$98,"H2",'Alle ruter'!$J$3:$J$98,$A95,'Alle ruter'!$AJ$3:$AJ$98,"&lt;="&amp;M$2)/2</f>
        <v>0</v>
      </c>
      <c r="N95" s="3">
        <f>SUMIFS('Alle ruter'!$AC$3:$AC$98,'Alle ruter'!$Z$3:$Z$98,"H2",'Alle ruter'!$I$3:$I$98,$A95,'Alle ruter'!$AJ$3:$AJ$98,"&lt;="&amp;N$2)/2+SUMIFS('Alle ruter'!$AC$3:$AC$98,'Alle ruter'!$Z$3:$Z$98,"H2",'Alle ruter'!$J$3:$J$98,$A95,'Alle ruter'!$AJ$3:$AJ$98,"&lt;="&amp;N$2)/2</f>
        <v>0</v>
      </c>
      <c r="O95" s="3">
        <f>SUMIFS('Alle ruter'!$AC$3:$AC$98,'Alle ruter'!$Z$3:$Z$98,"H2",'Alle ruter'!$I$3:$I$98,$A95,'Alle ruter'!$AJ$3:$AJ$98,"&lt;="&amp;O$2)/2+SUMIFS('Alle ruter'!$AC$3:$AC$98,'Alle ruter'!$Z$3:$Z$98,"H2",'Alle ruter'!$J$3:$J$98,$A95,'Alle ruter'!$AJ$3:$AJ$98,"&lt;="&amp;O$2)/2</f>
        <v>0</v>
      </c>
      <c r="P95" s="3">
        <f>SUMIFS('Alle ruter'!$AC$3:$AC$98,'Alle ruter'!$Z$3:$Z$98,"H2",'Alle ruter'!$I$3:$I$98,$A95,'Alle ruter'!$AJ$3:$AJ$98,"&lt;="&amp;P$2)/2+SUMIFS('Alle ruter'!$AC$3:$AC$98,'Alle ruter'!$Z$3:$Z$98,"H2",'Alle ruter'!$J$3:$J$98,$A95,'Alle ruter'!$AJ$3:$AJ$98,"&lt;="&amp;P$2)/2</f>
        <v>0</v>
      </c>
      <c r="Q95" s="3">
        <f>SUMIFS('Alle ruter'!$AC$3:$AC$98,'Alle ruter'!$Z$3:$Z$98,"H2",'Alle ruter'!$I$3:$I$98,$A95,'Alle ruter'!$AJ$3:$AJ$98,"&lt;="&amp;Q$2)/2+SUMIFS('Alle ruter'!$AC$3:$AC$98,'Alle ruter'!$Z$3:$Z$98,"H2",'Alle ruter'!$J$3:$J$98,$A95,'Alle ruter'!$AJ$3:$AJ$98,"&lt;="&amp;Q$2)/2</f>
        <v>0</v>
      </c>
      <c r="R95" s="3">
        <f>SUMIFS('Alle ruter'!$AC$3:$AC$98,'Alle ruter'!$Z$3:$Z$98,"H2",'Alle ruter'!$I$3:$I$98,$A95,'Alle ruter'!$AJ$3:$AJ$98,"&lt;="&amp;R$2)/2+SUMIFS('Alle ruter'!$AC$3:$AC$98,'Alle ruter'!$Z$3:$Z$98,"H2",'Alle ruter'!$J$3:$J$98,$A95,'Alle ruter'!$AJ$3:$AJ$98,"&lt;="&amp;R$2)/2</f>
        <v>0</v>
      </c>
      <c r="S95" s="3">
        <f>SUMIFS('Alle ruter'!$AC$3:$AC$98,'Alle ruter'!$Z$3:$Z$98,"H2",'Alle ruter'!$I$3:$I$98,$A95,'Alle ruter'!$AJ$3:$AJ$98,"&lt;="&amp;S$2)/2+SUMIFS('Alle ruter'!$AC$3:$AC$98,'Alle ruter'!$Z$3:$Z$98,"H2",'Alle ruter'!$J$3:$J$98,$A95,'Alle ruter'!$AJ$3:$AJ$98,"&lt;="&amp;S$2)/2</f>
        <v>0</v>
      </c>
      <c r="T95" s="3"/>
    </row>
    <row r="96" spans="1:20" x14ac:dyDescent="0.3">
      <c r="A96" t="s">
        <v>190</v>
      </c>
      <c r="B96" t="s">
        <v>388</v>
      </c>
      <c r="C96" s="3">
        <f>COUNTIF('Alle ruter'!$I$3:$I$98,'H2 pr endeplass'!A96)+COUNTIFS('Alle ruter'!$J$3:$J$98,'H2 pr endeplass'!A96,'Alle ruter'!$K$3:$K$98,"Nei")</f>
        <v>1</v>
      </c>
      <c r="D96" s="3">
        <f>COUNTIFS('Alle ruter'!$I$3:$I$98,'H2 pr endeplass'!A96,'Alle ruter'!$Z$3:$Z$98,"H2")+COUNTIFS('Alle ruter'!$J$3:$J$98,'H2 pr endeplass'!A96,'Alle ruter'!$K$3:$K$98,"Nei",'Alle ruter'!$Z$3:$Z$98,"H2")</f>
        <v>0</v>
      </c>
      <c r="E96">
        <v>0</v>
      </c>
      <c r="F96" s="3">
        <f>SUMIFS('Alle ruter'!$AC$3:$AC$98,'Alle ruter'!$Z$3:$Z$98,"H2",'Alle ruter'!$I$3:$I$98,$A96,'Alle ruter'!$AJ$3:$AJ$98,"&lt;="&amp;F$2)/2+SUMIFS('Alle ruter'!$AC$3:$AC$98,'Alle ruter'!$Z$3:$Z$98,"H2",'Alle ruter'!$J$3:$J$98,$A96,'Alle ruter'!$AJ$3:$AJ$98,"&lt;="&amp;F$2)/2</f>
        <v>0</v>
      </c>
      <c r="G96" s="3">
        <f>SUMIFS('Alle ruter'!$AC$3:$AC$98,'Alle ruter'!$Z$3:$Z$98,"H2",'Alle ruter'!$I$3:$I$98,$A96,'Alle ruter'!$AJ$3:$AJ$98,"&lt;="&amp;G$2)/2+SUMIFS('Alle ruter'!$AC$3:$AC$98,'Alle ruter'!$Z$3:$Z$98,"H2",'Alle ruter'!$J$3:$J$98,$A96,'Alle ruter'!$AJ$3:$AJ$98,"&lt;="&amp;G$2)/2</f>
        <v>0</v>
      </c>
      <c r="H96" s="3">
        <f>SUMIFS('Alle ruter'!$AC$3:$AC$98,'Alle ruter'!$Z$3:$Z$98,"H2",'Alle ruter'!$I$3:$I$98,$A96,'Alle ruter'!$AJ$3:$AJ$98,"&lt;="&amp;H$2)/2+SUMIFS('Alle ruter'!$AC$3:$AC$98,'Alle ruter'!$Z$3:$Z$98,"H2",'Alle ruter'!$J$3:$J$98,$A96,'Alle ruter'!$AJ$3:$AJ$98,"&lt;="&amp;H$2)/2</f>
        <v>0</v>
      </c>
      <c r="I96" s="3">
        <f>SUMIFS('Alle ruter'!$AC$3:$AC$98,'Alle ruter'!$Z$3:$Z$98,"H2",'Alle ruter'!$I$3:$I$98,$A96,'Alle ruter'!$AJ$3:$AJ$98,"&lt;="&amp;I$2)/2+SUMIFS('Alle ruter'!$AC$3:$AC$98,'Alle ruter'!$Z$3:$Z$98,"H2",'Alle ruter'!$J$3:$J$98,$A96,'Alle ruter'!$AJ$3:$AJ$98,"&lt;="&amp;I$2)/2</f>
        <v>0</v>
      </c>
      <c r="J96" s="3">
        <f>SUMIFS('Alle ruter'!$AC$3:$AC$98,'Alle ruter'!$Z$3:$Z$98,"H2",'Alle ruter'!$I$3:$I$98,$A96,'Alle ruter'!$AJ$3:$AJ$98,"&lt;="&amp;J$2)/2+SUMIFS('Alle ruter'!$AC$3:$AC$98,'Alle ruter'!$Z$3:$Z$98,"H2",'Alle ruter'!$J$3:$J$98,$A96,'Alle ruter'!$AJ$3:$AJ$98,"&lt;="&amp;J$2)/2</f>
        <v>0</v>
      </c>
      <c r="K96" s="3">
        <f>SUMIFS('Alle ruter'!$AC$3:$AC$98,'Alle ruter'!$Z$3:$Z$98,"H2",'Alle ruter'!$I$3:$I$98,$A96,'Alle ruter'!$AJ$3:$AJ$98,"&lt;="&amp;K$2)/2+SUMIFS('Alle ruter'!$AC$3:$AC$98,'Alle ruter'!$Z$3:$Z$98,"H2",'Alle ruter'!$J$3:$J$98,$A96,'Alle ruter'!$AJ$3:$AJ$98,"&lt;="&amp;K$2)/2</f>
        <v>0</v>
      </c>
      <c r="L96" s="3">
        <f>SUMIFS('Alle ruter'!$AC$3:$AC$98,'Alle ruter'!$Z$3:$Z$98,"H2",'Alle ruter'!$I$3:$I$98,$A96,'Alle ruter'!$AJ$3:$AJ$98,"&lt;="&amp;L$2)/2+SUMIFS('Alle ruter'!$AC$3:$AC$98,'Alle ruter'!$Z$3:$Z$98,"H2",'Alle ruter'!$J$3:$J$98,$A96,'Alle ruter'!$AJ$3:$AJ$98,"&lt;="&amp;L$2)/2</f>
        <v>0</v>
      </c>
      <c r="M96" s="3">
        <f>SUMIFS('Alle ruter'!$AC$3:$AC$98,'Alle ruter'!$Z$3:$Z$98,"H2",'Alle ruter'!$I$3:$I$98,$A96,'Alle ruter'!$AJ$3:$AJ$98,"&lt;="&amp;M$2)/2+SUMIFS('Alle ruter'!$AC$3:$AC$98,'Alle ruter'!$Z$3:$Z$98,"H2",'Alle ruter'!$J$3:$J$98,$A96,'Alle ruter'!$AJ$3:$AJ$98,"&lt;="&amp;M$2)/2</f>
        <v>0</v>
      </c>
      <c r="N96" s="3">
        <f>SUMIFS('Alle ruter'!$AC$3:$AC$98,'Alle ruter'!$Z$3:$Z$98,"H2",'Alle ruter'!$I$3:$I$98,$A96,'Alle ruter'!$AJ$3:$AJ$98,"&lt;="&amp;N$2)/2+SUMIFS('Alle ruter'!$AC$3:$AC$98,'Alle ruter'!$Z$3:$Z$98,"H2",'Alle ruter'!$J$3:$J$98,$A96,'Alle ruter'!$AJ$3:$AJ$98,"&lt;="&amp;N$2)/2</f>
        <v>0</v>
      </c>
      <c r="O96" s="3">
        <f>SUMIFS('Alle ruter'!$AC$3:$AC$98,'Alle ruter'!$Z$3:$Z$98,"H2",'Alle ruter'!$I$3:$I$98,$A96,'Alle ruter'!$AJ$3:$AJ$98,"&lt;="&amp;O$2)/2+SUMIFS('Alle ruter'!$AC$3:$AC$98,'Alle ruter'!$Z$3:$Z$98,"H2",'Alle ruter'!$J$3:$J$98,$A96,'Alle ruter'!$AJ$3:$AJ$98,"&lt;="&amp;O$2)/2</f>
        <v>0</v>
      </c>
      <c r="P96" s="3">
        <f>SUMIFS('Alle ruter'!$AC$3:$AC$98,'Alle ruter'!$Z$3:$Z$98,"H2",'Alle ruter'!$I$3:$I$98,$A96,'Alle ruter'!$AJ$3:$AJ$98,"&lt;="&amp;P$2)/2+SUMIFS('Alle ruter'!$AC$3:$AC$98,'Alle ruter'!$Z$3:$Z$98,"H2",'Alle ruter'!$J$3:$J$98,$A96,'Alle ruter'!$AJ$3:$AJ$98,"&lt;="&amp;P$2)/2</f>
        <v>0</v>
      </c>
      <c r="Q96" s="3">
        <f>SUMIFS('Alle ruter'!$AC$3:$AC$98,'Alle ruter'!$Z$3:$Z$98,"H2",'Alle ruter'!$I$3:$I$98,$A96,'Alle ruter'!$AJ$3:$AJ$98,"&lt;="&amp;Q$2)/2+SUMIFS('Alle ruter'!$AC$3:$AC$98,'Alle ruter'!$Z$3:$Z$98,"H2",'Alle ruter'!$J$3:$J$98,$A96,'Alle ruter'!$AJ$3:$AJ$98,"&lt;="&amp;Q$2)/2</f>
        <v>0</v>
      </c>
      <c r="R96" s="3">
        <f>SUMIFS('Alle ruter'!$AC$3:$AC$98,'Alle ruter'!$Z$3:$Z$98,"H2",'Alle ruter'!$I$3:$I$98,$A96,'Alle ruter'!$AJ$3:$AJ$98,"&lt;="&amp;R$2)/2+SUMIFS('Alle ruter'!$AC$3:$AC$98,'Alle ruter'!$Z$3:$Z$98,"H2",'Alle ruter'!$J$3:$J$98,$A96,'Alle ruter'!$AJ$3:$AJ$98,"&lt;="&amp;R$2)/2</f>
        <v>0</v>
      </c>
      <c r="S96" s="3">
        <f>SUMIFS('Alle ruter'!$AC$3:$AC$98,'Alle ruter'!$Z$3:$Z$98,"H2",'Alle ruter'!$I$3:$I$98,$A96,'Alle ruter'!$AJ$3:$AJ$98,"&lt;="&amp;S$2)/2+SUMIFS('Alle ruter'!$AC$3:$AC$98,'Alle ruter'!$Z$3:$Z$98,"H2",'Alle ruter'!$J$3:$J$98,$A96,'Alle ruter'!$AJ$3:$AJ$98,"&lt;="&amp;S$2)/2</f>
        <v>0</v>
      </c>
      <c r="T96" s="3"/>
    </row>
    <row r="97" spans="1:20" x14ac:dyDescent="0.3">
      <c r="A97" t="s">
        <v>191</v>
      </c>
      <c r="B97" t="s">
        <v>388</v>
      </c>
      <c r="C97" s="3">
        <f>COUNTIF('Alle ruter'!$I$3:$I$98,'H2 pr endeplass'!A97)+COUNTIFS('Alle ruter'!$J$3:$J$98,'H2 pr endeplass'!A97,'Alle ruter'!$K$3:$K$98,"Nei")</f>
        <v>1</v>
      </c>
      <c r="D97" s="3">
        <f>COUNTIFS('Alle ruter'!$I$3:$I$98,'H2 pr endeplass'!A97,'Alle ruter'!$Z$3:$Z$98,"H2")+COUNTIFS('Alle ruter'!$J$3:$J$98,'H2 pr endeplass'!A97,'Alle ruter'!$K$3:$K$98,"Nei",'Alle ruter'!$Z$3:$Z$98,"H2")</f>
        <v>0</v>
      </c>
      <c r="E97">
        <v>0</v>
      </c>
      <c r="F97" s="3">
        <f>SUMIFS('Alle ruter'!$AC$3:$AC$98,'Alle ruter'!$Z$3:$Z$98,"H2",'Alle ruter'!$I$3:$I$98,$A97,'Alle ruter'!$AJ$3:$AJ$98,"&lt;="&amp;F$2)/2+SUMIFS('Alle ruter'!$AC$3:$AC$98,'Alle ruter'!$Z$3:$Z$98,"H2",'Alle ruter'!$J$3:$J$98,$A97,'Alle ruter'!$AJ$3:$AJ$98,"&lt;="&amp;F$2)/2</f>
        <v>0</v>
      </c>
      <c r="G97" s="3">
        <f>SUMIFS('Alle ruter'!$AC$3:$AC$98,'Alle ruter'!$Z$3:$Z$98,"H2",'Alle ruter'!$I$3:$I$98,$A97,'Alle ruter'!$AJ$3:$AJ$98,"&lt;="&amp;G$2)/2+SUMIFS('Alle ruter'!$AC$3:$AC$98,'Alle ruter'!$Z$3:$Z$98,"H2",'Alle ruter'!$J$3:$J$98,$A97,'Alle ruter'!$AJ$3:$AJ$98,"&lt;="&amp;G$2)/2</f>
        <v>0</v>
      </c>
      <c r="H97" s="3">
        <f>SUMIFS('Alle ruter'!$AC$3:$AC$98,'Alle ruter'!$Z$3:$Z$98,"H2",'Alle ruter'!$I$3:$I$98,$A97,'Alle ruter'!$AJ$3:$AJ$98,"&lt;="&amp;H$2)/2+SUMIFS('Alle ruter'!$AC$3:$AC$98,'Alle ruter'!$Z$3:$Z$98,"H2",'Alle ruter'!$J$3:$J$98,$A97,'Alle ruter'!$AJ$3:$AJ$98,"&lt;="&amp;H$2)/2</f>
        <v>0</v>
      </c>
      <c r="I97" s="3">
        <f>SUMIFS('Alle ruter'!$AC$3:$AC$98,'Alle ruter'!$Z$3:$Z$98,"H2",'Alle ruter'!$I$3:$I$98,$A97,'Alle ruter'!$AJ$3:$AJ$98,"&lt;="&amp;I$2)/2+SUMIFS('Alle ruter'!$AC$3:$AC$98,'Alle ruter'!$Z$3:$Z$98,"H2",'Alle ruter'!$J$3:$J$98,$A97,'Alle ruter'!$AJ$3:$AJ$98,"&lt;="&amp;I$2)/2</f>
        <v>0</v>
      </c>
      <c r="J97" s="3">
        <f>SUMIFS('Alle ruter'!$AC$3:$AC$98,'Alle ruter'!$Z$3:$Z$98,"H2",'Alle ruter'!$I$3:$I$98,$A97,'Alle ruter'!$AJ$3:$AJ$98,"&lt;="&amp;J$2)/2+SUMIFS('Alle ruter'!$AC$3:$AC$98,'Alle ruter'!$Z$3:$Z$98,"H2",'Alle ruter'!$J$3:$J$98,$A97,'Alle ruter'!$AJ$3:$AJ$98,"&lt;="&amp;J$2)/2</f>
        <v>0</v>
      </c>
      <c r="K97" s="3">
        <f>SUMIFS('Alle ruter'!$AC$3:$AC$98,'Alle ruter'!$Z$3:$Z$98,"H2",'Alle ruter'!$I$3:$I$98,$A97,'Alle ruter'!$AJ$3:$AJ$98,"&lt;="&amp;K$2)/2+SUMIFS('Alle ruter'!$AC$3:$AC$98,'Alle ruter'!$Z$3:$Z$98,"H2",'Alle ruter'!$J$3:$J$98,$A97,'Alle ruter'!$AJ$3:$AJ$98,"&lt;="&amp;K$2)/2</f>
        <v>0</v>
      </c>
      <c r="L97" s="3">
        <f>SUMIFS('Alle ruter'!$AC$3:$AC$98,'Alle ruter'!$Z$3:$Z$98,"H2",'Alle ruter'!$I$3:$I$98,$A97,'Alle ruter'!$AJ$3:$AJ$98,"&lt;="&amp;L$2)/2+SUMIFS('Alle ruter'!$AC$3:$AC$98,'Alle ruter'!$Z$3:$Z$98,"H2",'Alle ruter'!$J$3:$J$98,$A97,'Alle ruter'!$AJ$3:$AJ$98,"&lt;="&amp;L$2)/2</f>
        <v>0</v>
      </c>
      <c r="M97" s="3">
        <f>SUMIFS('Alle ruter'!$AC$3:$AC$98,'Alle ruter'!$Z$3:$Z$98,"H2",'Alle ruter'!$I$3:$I$98,$A97,'Alle ruter'!$AJ$3:$AJ$98,"&lt;="&amp;M$2)/2+SUMIFS('Alle ruter'!$AC$3:$AC$98,'Alle ruter'!$Z$3:$Z$98,"H2",'Alle ruter'!$J$3:$J$98,$A97,'Alle ruter'!$AJ$3:$AJ$98,"&lt;="&amp;M$2)/2</f>
        <v>0</v>
      </c>
      <c r="N97" s="3">
        <f>SUMIFS('Alle ruter'!$AC$3:$AC$98,'Alle ruter'!$Z$3:$Z$98,"H2",'Alle ruter'!$I$3:$I$98,$A97,'Alle ruter'!$AJ$3:$AJ$98,"&lt;="&amp;N$2)/2+SUMIFS('Alle ruter'!$AC$3:$AC$98,'Alle ruter'!$Z$3:$Z$98,"H2",'Alle ruter'!$J$3:$J$98,$A97,'Alle ruter'!$AJ$3:$AJ$98,"&lt;="&amp;N$2)/2</f>
        <v>0</v>
      </c>
      <c r="O97" s="3">
        <f>SUMIFS('Alle ruter'!$AC$3:$AC$98,'Alle ruter'!$Z$3:$Z$98,"H2",'Alle ruter'!$I$3:$I$98,$A97,'Alle ruter'!$AJ$3:$AJ$98,"&lt;="&amp;O$2)/2+SUMIFS('Alle ruter'!$AC$3:$AC$98,'Alle ruter'!$Z$3:$Z$98,"H2",'Alle ruter'!$J$3:$J$98,$A97,'Alle ruter'!$AJ$3:$AJ$98,"&lt;="&amp;O$2)/2</f>
        <v>0</v>
      </c>
      <c r="P97" s="3">
        <f>SUMIFS('Alle ruter'!$AC$3:$AC$98,'Alle ruter'!$Z$3:$Z$98,"H2",'Alle ruter'!$I$3:$I$98,$A97,'Alle ruter'!$AJ$3:$AJ$98,"&lt;="&amp;P$2)/2+SUMIFS('Alle ruter'!$AC$3:$AC$98,'Alle ruter'!$Z$3:$Z$98,"H2",'Alle ruter'!$J$3:$J$98,$A97,'Alle ruter'!$AJ$3:$AJ$98,"&lt;="&amp;P$2)/2</f>
        <v>0</v>
      </c>
      <c r="Q97" s="3">
        <f>SUMIFS('Alle ruter'!$AC$3:$AC$98,'Alle ruter'!$Z$3:$Z$98,"H2",'Alle ruter'!$I$3:$I$98,$A97,'Alle ruter'!$AJ$3:$AJ$98,"&lt;="&amp;Q$2)/2+SUMIFS('Alle ruter'!$AC$3:$AC$98,'Alle ruter'!$Z$3:$Z$98,"H2",'Alle ruter'!$J$3:$J$98,$A97,'Alle ruter'!$AJ$3:$AJ$98,"&lt;="&amp;Q$2)/2</f>
        <v>0</v>
      </c>
      <c r="R97" s="3">
        <f>SUMIFS('Alle ruter'!$AC$3:$AC$98,'Alle ruter'!$Z$3:$Z$98,"H2",'Alle ruter'!$I$3:$I$98,$A97,'Alle ruter'!$AJ$3:$AJ$98,"&lt;="&amp;R$2)/2+SUMIFS('Alle ruter'!$AC$3:$AC$98,'Alle ruter'!$Z$3:$Z$98,"H2",'Alle ruter'!$J$3:$J$98,$A97,'Alle ruter'!$AJ$3:$AJ$98,"&lt;="&amp;R$2)/2</f>
        <v>0</v>
      </c>
      <c r="S97" s="3">
        <f>SUMIFS('Alle ruter'!$AC$3:$AC$98,'Alle ruter'!$Z$3:$Z$98,"H2",'Alle ruter'!$I$3:$I$98,$A97,'Alle ruter'!$AJ$3:$AJ$98,"&lt;="&amp;S$2)/2+SUMIFS('Alle ruter'!$AC$3:$AC$98,'Alle ruter'!$Z$3:$Z$98,"H2",'Alle ruter'!$J$3:$J$98,$A97,'Alle ruter'!$AJ$3:$AJ$98,"&lt;="&amp;S$2)/2</f>
        <v>0</v>
      </c>
      <c r="T97" s="3"/>
    </row>
    <row r="98" spans="1:20" x14ac:dyDescent="0.3">
      <c r="A98" t="s">
        <v>197</v>
      </c>
      <c r="C98" s="3">
        <f>COUNTIF('Alle ruter'!$I$3:$I$98,'H2 pr endeplass'!A98)+COUNTIFS('Alle ruter'!$J$3:$J$98,'H2 pr endeplass'!A98,'Alle ruter'!$K$3:$K$98,"Nei")</f>
        <v>1</v>
      </c>
      <c r="D98" s="3">
        <f>COUNTIFS('Alle ruter'!$I$3:$I$98,'H2 pr endeplass'!A98,'Alle ruter'!$Z$3:$Z$98,"H2")+COUNTIFS('Alle ruter'!$J$3:$J$98,'H2 pr endeplass'!A98,'Alle ruter'!$K$3:$K$98,"Nei",'Alle ruter'!$Z$3:$Z$98,"H2")</f>
        <v>0</v>
      </c>
      <c r="E98">
        <v>0</v>
      </c>
      <c r="F98" s="3">
        <f>SUMIFS('Alle ruter'!$AC$3:$AC$98,'Alle ruter'!$Z$3:$Z$98,"H2",'Alle ruter'!$I$3:$I$98,$A98,'Alle ruter'!$AJ$3:$AJ$98,"&lt;="&amp;F$2)/2+SUMIFS('Alle ruter'!$AC$3:$AC$98,'Alle ruter'!$Z$3:$Z$98,"H2",'Alle ruter'!$J$3:$J$98,$A98,'Alle ruter'!$AJ$3:$AJ$98,"&lt;="&amp;F$2)/2</f>
        <v>0</v>
      </c>
      <c r="G98" s="3">
        <f>SUMIFS('Alle ruter'!$AC$3:$AC$98,'Alle ruter'!$Z$3:$Z$98,"H2",'Alle ruter'!$I$3:$I$98,$A98,'Alle ruter'!$AJ$3:$AJ$98,"&lt;="&amp;G$2)/2+SUMIFS('Alle ruter'!$AC$3:$AC$98,'Alle ruter'!$Z$3:$Z$98,"H2",'Alle ruter'!$J$3:$J$98,$A98,'Alle ruter'!$AJ$3:$AJ$98,"&lt;="&amp;G$2)/2</f>
        <v>0</v>
      </c>
      <c r="H98" s="3">
        <f>SUMIFS('Alle ruter'!$AC$3:$AC$98,'Alle ruter'!$Z$3:$Z$98,"H2",'Alle ruter'!$I$3:$I$98,$A98,'Alle ruter'!$AJ$3:$AJ$98,"&lt;="&amp;H$2)/2+SUMIFS('Alle ruter'!$AC$3:$AC$98,'Alle ruter'!$Z$3:$Z$98,"H2",'Alle ruter'!$J$3:$J$98,$A98,'Alle ruter'!$AJ$3:$AJ$98,"&lt;="&amp;H$2)/2</f>
        <v>0</v>
      </c>
      <c r="I98" s="3">
        <f>SUMIFS('Alle ruter'!$AC$3:$AC$98,'Alle ruter'!$Z$3:$Z$98,"H2",'Alle ruter'!$I$3:$I$98,$A98,'Alle ruter'!$AJ$3:$AJ$98,"&lt;="&amp;I$2)/2+SUMIFS('Alle ruter'!$AC$3:$AC$98,'Alle ruter'!$Z$3:$Z$98,"H2",'Alle ruter'!$J$3:$J$98,$A98,'Alle ruter'!$AJ$3:$AJ$98,"&lt;="&amp;I$2)/2</f>
        <v>0</v>
      </c>
      <c r="J98" s="3">
        <f>SUMIFS('Alle ruter'!$AC$3:$AC$98,'Alle ruter'!$Z$3:$Z$98,"H2",'Alle ruter'!$I$3:$I$98,$A98,'Alle ruter'!$AJ$3:$AJ$98,"&lt;="&amp;J$2)/2+SUMIFS('Alle ruter'!$AC$3:$AC$98,'Alle ruter'!$Z$3:$Z$98,"H2",'Alle ruter'!$J$3:$J$98,$A98,'Alle ruter'!$AJ$3:$AJ$98,"&lt;="&amp;J$2)/2</f>
        <v>0</v>
      </c>
      <c r="K98" s="3">
        <f>SUMIFS('Alle ruter'!$AC$3:$AC$98,'Alle ruter'!$Z$3:$Z$98,"H2",'Alle ruter'!$I$3:$I$98,$A98,'Alle ruter'!$AJ$3:$AJ$98,"&lt;="&amp;K$2)/2+SUMIFS('Alle ruter'!$AC$3:$AC$98,'Alle ruter'!$Z$3:$Z$98,"H2",'Alle ruter'!$J$3:$J$98,$A98,'Alle ruter'!$AJ$3:$AJ$98,"&lt;="&amp;K$2)/2</f>
        <v>0</v>
      </c>
      <c r="L98" s="3">
        <f>SUMIFS('Alle ruter'!$AC$3:$AC$98,'Alle ruter'!$Z$3:$Z$98,"H2",'Alle ruter'!$I$3:$I$98,$A98,'Alle ruter'!$AJ$3:$AJ$98,"&lt;="&amp;L$2)/2+SUMIFS('Alle ruter'!$AC$3:$AC$98,'Alle ruter'!$Z$3:$Z$98,"H2",'Alle ruter'!$J$3:$J$98,$A98,'Alle ruter'!$AJ$3:$AJ$98,"&lt;="&amp;L$2)/2</f>
        <v>0</v>
      </c>
      <c r="M98" s="3">
        <f>SUMIFS('Alle ruter'!$AC$3:$AC$98,'Alle ruter'!$Z$3:$Z$98,"H2",'Alle ruter'!$I$3:$I$98,$A98,'Alle ruter'!$AJ$3:$AJ$98,"&lt;="&amp;M$2)/2+SUMIFS('Alle ruter'!$AC$3:$AC$98,'Alle ruter'!$Z$3:$Z$98,"H2",'Alle ruter'!$J$3:$J$98,$A98,'Alle ruter'!$AJ$3:$AJ$98,"&lt;="&amp;M$2)/2</f>
        <v>0</v>
      </c>
      <c r="N98" s="3">
        <f>SUMIFS('Alle ruter'!$AC$3:$AC$98,'Alle ruter'!$Z$3:$Z$98,"H2",'Alle ruter'!$I$3:$I$98,$A98,'Alle ruter'!$AJ$3:$AJ$98,"&lt;="&amp;N$2)/2+SUMIFS('Alle ruter'!$AC$3:$AC$98,'Alle ruter'!$Z$3:$Z$98,"H2",'Alle ruter'!$J$3:$J$98,$A98,'Alle ruter'!$AJ$3:$AJ$98,"&lt;="&amp;N$2)/2</f>
        <v>0</v>
      </c>
      <c r="O98" s="3">
        <f>SUMIFS('Alle ruter'!$AC$3:$AC$98,'Alle ruter'!$Z$3:$Z$98,"H2",'Alle ruter'!$I$3:$I$98,$A98,'Alle ruter'!$AJ$3:$AJ$98,"&lt;="&amp;O$2)/2+SUMIFS('Alle ruter'!$AC$3:$AC$98,'Alle ruter'!$Z$3:$Z$98,"H2",'Alle ruter'!$J$3:$J$98,$A98,'Alle ruter'!$AJ$3:$AJ$98,"&lt;="&amp;O$2)/2</f>
        <v>0</v>
      </c>
      <c r="P98" s="3">
        <f>SUMIFS('Alle ruter'!$AC$3:$AC$98,'Alle ruter'!$Z$3:$Z$98,"H2",'Alle ruter'!$I$3:$I$98,$A98,'Alle ruter'!$AJ$3:$AJ$98,"&lt;="&amp;P$2)/2+SUMIFS('Alle ruter'!$AC$3:$AC$98,'Alle ruter'!$Z$3:$Z$98,"H2",'Alle ruter'!$J$3:$J$98,$A98,'Alle ruter'!$AJ$3:$AJ$98,"&lt;="&amp;P$2)/2</f>
        <v>0</v>
      </c>
      <c r="Q98" s="3">
        <f>SUMIFS('Alle ruter'!$AC$3:$AC$98,'Alle ruter'!$Z$3:$Z$98,"H2",'Alle ruter'!$I$3:$I$98,$A98,'Alle ruter'!$AJ$3:$AJ$98,"&lt;="&amp;Q$2)/2+SUMIFS('Alle ruter'!$AC$3:$AC$98,'Alle ruter'!$Z$3:$Z$98,"H2",'Alle ruter'!$J$3:$J$98,$A98,'Alle ruter'!$AJ$3:$AJ$98,"&lt;="&amp;Q$2)/2</f>
        <v>0</v>
      </c>
      <c r="R98" s="3">
        <f>SUMIFS('Alle ruter'!$AC$3:$AC$98,'Alle ruter'!$Z$3:$Z$98,"H2",'Alle ruter'!$I$3:$I$98,$A98,'Alle ruter'!$AJ$3:$AJ$98,"&lt;="&amp;R$2)/2+SUMIFS('Alle ruter'!$AC$3:$AC$98,'Alle ruter'!$Z$3:$Z$98,"H2",'Alle ruter'!$J$3:$J$98,$A98,'Alle ruter'!$AJ$3:$AJ$98,"&lt;="&amp;R$2)/2</f>
        <v>0</v>
      </c>
      <c r="S98" s="3">
        <f>SUMIFS('Alle ruter'!$AC$3:$AC$98,'Alle ruter'!$Z$3:$Z$98,"H2",'Alle ruter'!$I$3:$I$98,$A98,'Alle ruter'!$AJ$3:$AJ$98,"&lt;="&amp;S$2)/2+SUMIFS('Alle ruter'!$AC$3:$AC$98,'Alle ruter'!$Z$3:$Z$98,"H2",'Alle ruter'!$J$3:$J$98,$A98,'Alle ruter'!$AJ$3:$AJ$98,"&lt;="&amp;S$2)/2</f>
        <v>0</v>
      </c>
      <c r="T98" s="3"/>
    </row>
    <row r="99" spans="1:20" x14ac:dyDescent="0.3">
      <c r="A99" t="s">
        <v>166</v>
      </c>
      <c r="C99" s="3">
        <f>COUNTIF('Alle ruter'!$I$3:$I$98,'H2 pr endeplass'!A99)+COUNTIFS('Alle ruter'!$J$3:$J$98,'H2 pr endeplass'!A99,'Alle ruter'!$K$3:$K$98,"Nei")</f>
        <v>1</v>
      </c>
      <c r="D99" s="3">
        <f>COUNTIFS('Alle ruter'!$I$3:$I$98,'H2 pr endeplass'!A99,'Alle ruter'!$Z$3:$Z$98,"H2")+COUNTIFS('Alle ruter'!$J$3:$J$98,'H2 pr endeplass'!A99,'Alle ruter'!$K$3:$K$98,"Nei",'Alle ruter'!$Z$3:$Z$98,"H2")</f>
        <v>0</v>
      </c>
      <c r="E99">
        <v>0</v>
      </c>
      <c r="F99" s="3">
        <f>SUMIFS('Alle ruter'!$AC$3:$AC$98,'Alle ruter'!$Z$3:$Z$98,"H2",'Alle ruter'!$I$3:$I$98,$A99,'Alle ruter'!$AJ$3:$AJ$98,"&lt;="&amp;F$2)/2+SUMIFS('Alle ruter'!$AC$3:$AC$98,'Alle ruter'!$Z$3:$Z$98,"H2",'Alle ruter'!$J$3:$J$98,$A99,'Alle ruter'!$AJ$3:$AJ$98,"&lt;="&amp;F$2)/2</f>
        <v>0</v>
      </c>
      <c r="G99" s="3">
        <f>SUMIFS('Alle ruter'!$AC$3:$AC$98,'Alle ruter'!$Z$3:$Z$98,"H2",'Alle ruter'!$I$3:$I$98,$A99,'Alle ruter'!$AJ$3:$AJ$98,"&lt;="&amp;G$2)/2+SUMIFS('Alle ruter'!$AC$3:$AC$98,'Alle ruter'!$Z$3:$Z$98,"H2",'Alle ruter'!$J$3:$J$98,$A99,'Alle ruter'!$AJ$3:$AJ$98,"&lt;="&amp;G$2)/2</f>
        <v>0</v>
      </c>
      <c r="H99" s="3">
        <f>SUMIFS('Alle ruter'!$AC$3:$AC$98,'Alle ruter'!$Z$3:$Z$98,"H2",'Alle ruter'!$I$3:$I$98,$A99,'Alle ruter'!$AJ$3:$AJ$98,"&lt;="&amp;H$2)/2+SUMIFS('Alle ruter'!$AC$3:$AC$98,'Alle ruter'!$Z$3:$Z$98,"H2",'Alle ruter'!$J$3:$J$98,$A99,'Alle ruter'!$AJ$3:$AJ$98,"&lt;="&amp;H$2)/2</f>
        <v>0</v>
      </c>
      <c r="I99" s="3">
        <f>SUMIFS('Alle ruter'!$AC$3:$AC$98,'Alle ruter'!$Z$3:$Z$98,"H2",'Alle ruter'!$I$3:$I$98,$A99,'Alle ruter'!$AJ$3:$AJ$98,"&lt;="&amp;I$2)/2+SUMIFS('Alle ruter'!$AC$3:$AC$98,'Alle ruter'!$Z$3:$Z$98,"H2",'Alle ruter'!$J$3:$J$98,$A99,'Alle ruter'!$AJ$3:$AJ$98,"&lt;="&amp;I$2)/2</f>
        <v>0</v>
      </c>
      <c r="J99" s="3">
        <f>SUMIFS('Alle ruter'!$AC$3:$AC$98,'Alle ruter'!$Z$3:$Z$98,"H2",'Alle ruter'!$I$3:$I$98,$A99,'Alle ruter'!$AJ$3:$AJ$98,"&lt;="&amp;J$2)/2+SUMIFS('Alle ruter'!$AC$3:$AC$98,'Alle ruter'!$Z$3:$Z$98,"H2",'Alle ruter'!$J$3:$J$98,$A99,'Alle ruter'!$AJ$3:$AJ$98,"&lt;="&amp;J$2)/2</f>
        <v>0</v>
      </c>
      <c r="K99" s="3">
        <f>SUMIFS('Alle ruter'!$AC$3:$AC$98,'Alle ruter'!$Z$3:$Z$98,"H2",'Alle ruter'!$I$3:$I$98,$A99,'Alle ruter'!$AJ$3:$AJ$98,"&lt;="&amp;K$2)/2+SUMIFS('Alle ruter'!$AC$3:$AC$98,'Alle ruter'!$Z$3:$Z$98,"H2",'Alle ruter'!$J$3:$J$98,$A99,'Alle ruter'!$AJ$3:$AJ$98,"&lt;="&amp;K$2)/2</f>
        <v>0</v>
      </c>
      <c r="L99" s="3">
        <f>SUMIFS('Alle ruter'!$AC$3:$AC$98,'Alle ruter'!$Z$3:$Z$98,"H2",'Alle ruter'!$I$3:$I$98,$A99,'Alle ruter'!$AJ$3:$AJ$98,"&lt;="&amp;L$2)/2+SUMIFS('Alle ruter'!$AC$3:$AC$98,'Alle ruter'!$Z$3:$Z$98,"H2",'Alle ruter'!$J$3:$J$98,$A99,'Alle ruter'!$AJ$3:$AJ$98,"&lt;="&amp;L$2)/2</f>
        <v>0</v>
      </c>
      <c r="M99" s="3">
        <f>SUMIFS('Alle ruter'!$AC$3:$AC$98,'Alle ruter'!$Z$3:$Z$98,"H2",'Alle ruter'!$I$3:$I$98,$A99,'Alle ruter'!$AJ$3:$AJ$98,"&lt;="&amp;M$2)/2+SUMIFS('Alle ruter'!$AC$3:$AC$98,'Alle ruter'!$Z$3:$Z$98,"H2",'Alle ruter'!$J$3:$J$98,$A99,'Alle ruter'!$AJ$3:$AJ$98,"&lt;="&amp;M$2)/2</f>
        <v>0</v>
      </c>
      <c r="N99" s="3">
        <f>SUMIFS('Alle ruter'!$AC$3:$AC$98,'Alle ruter'!$Z$3:$Z$98,"H2",'Alle ruter'!$I$3:$I$98,$A99,'Alle ruter'!$AJ$3:$AJ$98,"&lt;="&amp;N$2)/2+SUMIFS('Alle ruter'!$AC$3:$AC$98,'Alle ruter'!$Z$3:$Z$98,"H2",'Alle ruter'!$J$3:$J$98,$A99,'Alle ruter'!$AJ$3:$AJ$98,"&lt;="&amp;N$2)/2</f>
        <v>0</v>
      </c>
      <c r="O99" s="3">
        <f>SUMIFS('Alle ruter'!$AC$3:$AC$98,'Alle ruter'!$Z$3:$Z$98,"H2",'Alle ruter'!$I$3:$I$98,$A99,'Alle ruter'!$AJ$3:$AJ$98,"&lt;="&amp;O$2)/2+SUMIFS('Alle ruter'!$AC$3:$AC$98,'Alle ruter'!$Z$3:$Z$98,"H2",'Alle ruter'!$J$3:$J$98,$A99,'Alle ruter'!$AJ$3:$AJ$98,"&lt;="&amp;O$2)/2</f>
        <v>0</v>
      </c>
      <c r="P99" s="3">
        <f>SUMIFS('Alle ruter'!$AC$3:$AC$98,'Alle ruter'!$Z$3:$Z$98,"H2",'Alle ruter'!$I$3:$I$98,$A99,'Alle ruter'!$AJ$3:$AJ$98,"&lt;="&amp;P$2)/2+SUMIFS('Alle ruter'!$AC$3:$AC$98,'Alle ruter'!$Z$3:$Z$98,"H2",'Alle ruter'!$J$3:$J$98,$A99,'Alle ruter'!$AJ$3:$AJ$98,"&lt;="&amp;P$2)/2</f>
        <v>0</v>
      </c>
      <c r="Q99" s="3">
        <f>SUMIFS('Alle ruter'!$AC$3:$AC$98,'Alle ruter'!$Z$3:$Z$98,"H2",'Alle ruter'!$I$3:$I$98,$A99,'Alle ruter'!$AJ$3:$AJ$98,"&lt;="&amp;Q$2)/2+SUMIFS('Alle ruter'!$AC$3:$AC$98,'Alle ruter'!$Z$3:$Z$98,"H2",'Alle ruter'!$J$3:$J$98,$A99,'Alle ruter'!$AJ$3:$AJ$98,"&lt;="&amp;Q$2)/2</f>
        <v>0</v>
      </c>
      <c r="R99" s="3">
        <f>SUMIFS('Alle ruter'!$AC$3:$AC$98,'Alle ruter'!$Z$3:$Z$98,"H2",'Alle ruter'!$I$3:$I$98,$A99,'Alle ruter'!$AJ$3:$AJ$98,"&lt;="&amp;R$2)/2+SUMIFS('Alle ruter'!$AC$3:$AC$98,'Alle ruter'!$Z$3:$Z$98,"H2",'Alle ruter'!$J$3:$J$98,$A99,'Alle ruter'!$AJ$3:$AJ$98,"&lt;="&amp;R$2)/2</f>
        <v>0</v>
      </c>
      <c r="S99" s="3">
        <f>SUMIFS('Alle ruter'!$AC$3:$AC$98,'Alle ruter'!$Z$3:$Z$98,"H2",'Alle ruter'!$I$3:$I$98,$A99,'Alle ruter'!$AJ$3:$AJ$98,"&lt;="&amp;S$2)/2+SUMIFS('Alle ruter'!$AC$3:$AC$98,'Alle ruter'!$Z$3:$Z$98,"H2",'Alle ruter'!$J$3:$J$98,$A99,'Alle ruter'!$AJ$3:$AJ$98,"&lt;="&amp;S$2)/2</f>
        <v>0</v>
      </c>
      <c r="T99" s="3"/>
    </row>
    <row r="100" spans="1:20" x14ac:dyDescent="0.3">
      <c r="D100" s="3"/>
    </row>
    <row r="102" spans="1:20" x14ac:dyDescent="0.3">
      <c r="A102" t="s">
        <v>375</v>
      </c>
      <c r="D102" s="3">
        <f>SUM(D4:D100)</f>
        <v>75</v>
      </c>
    </row>
  </sheetData>
  <sortState xmlns:xlrd2="http://schemas.microsoft.com/office/spreadsheetml/2017/richdata2" ref="A4:S99">
    <sortCondition descending="1" ref="N4:N99"/>
  </sortState>
  <mergeCells count="1">
    <mergeCell ref="F1:N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A4003-094F-459C-84CB-277702E6CFE9}">
  <dimension ref="A1:P76"/>
  <sheetViews>
    <sheetView zoomScale="85" zoomScaleNormal="85" workbookViewId="0">
      <selection activeCell="E11" sqref="E11"/>
    </sheetView>
  </sheetViews>
  <sheetFormatPr defaultRowHeight="14.4" x14ac:dyDescent="0.3"/>
  <cols>
    <col min="1" max="1" width="20.109375" bestFit="1" customWidth="1"/>
    <col min="3" max="3" width="10.5546875" bestFit="1" customWidth="1"/>
    <col min="4" max="16" width="10.109375" bestFit="1" customWidth="1"/>
  </cols>
  <sheetData>
    <row r="1" spans="1:16" x14ac:dyDescent="0.3">
      <c r="C1" s="45" t="s">
        <v>414</v>
      </c>
      <c r="D1" s="45"/>
      <c r="E1" s="45"/>
      <c r="F1" s="45"/>
      <c r="G1" s="45"/>
      <c r="H1" s="45"/>
      <c r="I1" s="45"/>
      <c r="J1" s="45"/>
      <c r="K1" s="45"/>
    </row>
    <row r="2" spans="1:16" x14ac:dyDescent="0.3">
      <c r="C2" s="35">
        <v>44926</v>
      </c>
      <c r="D2" s="35">
        <v>45291</v>
      </c>
      <c r="E2" s="35">
        <v>45657</v>
      </c>
      <c r="F2" s="35">
        <v>46022</v>
      </c>
      <c r="G2" s="35">
        <v>46387</v>
      </c>
      <c r="H2" s="35">
        <v>46752</v>
      </c>
      <c r="I2" s="35">
        <v>47118</v>
      </c>
      <c r="J2" s="35">
        <v>47483</v>
      </c>
      <c r="K2" s="35">
        <v>47848</v>
      </c>
      <c r="L2" s="35">
        <v>48213</v>
      </c>
      <c r="M2" s="35">
        <v>48579</v>
      </c>
      <c r="N2" s="35">
        <v>48944</v>
      </c>
      <c r="O2" s="35">
        <v>49309</v>
      </c>
      <c r="P2" s="35">
        <v>49674</v>
      </c>
    </row>
    <row r="3" spans="1:16" x14ac:dyDescent="0.3">
      <c r="A3" s="24" t="s">
        <v>2</v>
      </c>
      <c r="B3" s="37">
        <v>2021</v>
      </c>
      <c r="C3" s="24">
        <f>YEAR(C2)</f>
        <v>2022</v>
      </c>
      <c r="D3" s="24">
        <f t="shared" ref="D3:P3" si="0">YEAR(D2)</f>
        <v>2023</v>
      </c>
      <c r="E3" s="24">
        <f t="shared" si="0"/>
        <v>2024</v>
      </c>
      <c r="F3" s="24">
        <f t="shared" si="0"/>
        <v>2025</v>
      </c>
      <c r="G3" s="24">
        <f t="shared" si="0"/>
        <v>2026</v>
      </c>
      <c r="H3" s="24">
        <f t="shared" si="0"/>
        <v>2027</v>
      </c>
      <c r="I3" s="24">
        <f t="shared" si="0"/>
        <v>2028</v>
      </c>
      <c r="J3" s="24">
        <f t="shared" si="0"/>
        <v>2029</v>
      </c>
      <c r="K3" s="24">
        <f t="shared" si="0"/>
        <v>2030</v>
      </c>
      <c r="L3" s="24">
        <f t="shared" si="0"/>
        <v>2031</v>
      </c>
      <c r="M3" s="24">
        <f t="shared" si="0"/>
        <v>2032</v>
      </c>
      <c r="N3" s="24">
        <f t="shared" si="0"/>
        <v>2033</v>
      </c>
      <c r="O3" s="24">
        <f t="shared" si="0"/>
        <v>2034</v>
      </c>
      <c r="P3" s="24">
        <f t="shared" si="0"/>
        <v>2035</v>
      </c>
    </row>
    <row r="4" spans="1:16" x14ac:dyDescent="0.3">
      <c r="A4" t="s">
        <v>388</v>
      </c>
      <c r="B4" s="36">
        <v>0</v>
      </c>
      <c r="C4" s="3">
        <f>SUMIF('H2 pr endeplass'!$B$4:$B$99,'Energi per fylke'!$A4,'H2 pr endeplass'!F$4:F$99)*365/1000</f>
        <v>853.55939103355547</v>
      </c>
      <c r="D4" s="3">
        <f>SUMIF('H2 pr endeplass'!$B$4:$B$99,'Energi per fylke'!$A4,'H2 pr endeplass'!G$4:G$99)*365/1000</f>
        <v>853.55939103355547</v>
      </c>
      <c r="E4" s="3">
        <f>SUMIF('H2 pr endeplass'!$B$4:$B$99,'Energi per fylke'!$A4,'H2 pr endeplass'!H$4:H$99)*365/1000</f>
        <v>2100.6532360637775</v>
      </c>
      <c r="F4" s="3">
        <f>SUMIF('H2 pr endeplass'!$B$4:$B$99,'Energi per fylke'!$A4,'H2 pr endeplass'!I$4:I$99)*365/1000</f>
        <v>2100.6532360637775</v>
      </c>
      <c r="G4" s="3">
        <f>SUMIF('H2 pr endeplass'!$B$4:$B$99,'Energi per fylke'!$A4,'H2 pr endeplass'!J$4:J$99)*365/1000</f>
        <v>2161.3976994624445</v>
      </c>
      <c r="H4" s="3">
        <f>SUMIF('H2 pr endeplass'!$B$4:$B$99,'Energi per fylke'!$A4,'H2 pr endeplass'!K$4:K$99)*365/1000</f>
        <v>2807.2415348452223</v>
      </c>
      <c r="I4" s="3">
        <f>SUMIF('H2 pr endeplass'!$B$4:$B$99,'Energi per fylke'!$A4,'H2 pr endeplass'!L$4:L$99)*365/1000</f>
        <v>2807.2415348452223</v>
      </c>
      <c r="J4" s="3">
        <f>SUMIF('H2 pr endeplass'!$B$4:$B$99,'Energi per fylke'!$A4,'H2 pr endeplass'!M$4:M$99)*365/1000</f>
        <v>2807.2415348452223</v>
      </c>
      <c r="K4" s="3">
        <f>SUMIF('H2 pr endeplass'!$B$4:$B$99,'Energi per fylke'!$A4,'H2 pr endeplass'!N$4:N$99)*365/1000</f>
        <v>2807.2415348452223</v>
      </c>
      <c r="L4" s="3">
        <f>SUMIF('H2 pr endeplass'!$B$4:$B$99,'Energi per fylke'!$A4,'H2 pr endeplass'!O$4:O$99)*365/1000</f>
        <v>2807.2415348452223</v>
      </c>
      <c r="M4" s="3">
        <f>SUMIF('H2 pr endeplass'!$B$4:$B$99,'Energi per fylke'!$A4,'H2 pr endeplass'!P$4:P$99)*365/1000</f>
        <v>2807.2415348452223</v>
      </c>
      <c r="N4" s="3">
        <f>SUMIF('H2 pr endeplass'!$B$4:$B$99,'Energi per fylke'!$A4,'H2 pr endeplass'!Q$4:Q$99)*365/1000</f>
        <v>2807.2415348452223</v>
      </c>
      <c r="O4" s="3">
        <f>SUMIF('H2 pr endeplass'!$B$4:$B$99,'Energi per fylke'!$A4,'H2 pr endeplass'!R$4:R$99)*365/1000</f>
        <v>2807.2415348452223</v>
      </c>
      <c r="P4" s="3">
        <f>SUMIF('H2 pr endeplass'!$B$4:$B$99,'Energi per fylke'!$A4,'H2 pr endeplass'!S$4:S$99)*365/1000</f>
        <v>2807.2415348452223</v>
      </c>
    </row>
    <row r="5" spans="1:16" x14ac:dyDescent="0.3">
      <c r="A5" t="s">
        <v>15</v>
      </c>
      <c r="B5" s="36">
        <v>0</v>
      </c>
      <c r="C5" s="3">
        <f>SUMIF('H2 pr endeplass'!$B$4:$B$99,'Energi per fylke'!$A5,'H2 pr endeplass'!F$4:F$99)*365/1000</f>
        <v>1151.7743941441113</v>
      </c>
      <c r="D5" s="3">
        <f>SUMIF('H2 pr endeplass'!$B$4:$B$99,'Energi per fylke'!$A5,'H2 pr endeplass'!G$4:G$99)*365/1000</f>
        <v>1225.3284831305559</v>
      </c>
      <c r="E5" s="3">
        <f>SUMIF('H2 pr endeplass'!$B$4:$B$99,'Energi per fylke'!$A5,'H2 pr endeplass'!H$4:H$99)*365/1000</f>
        <v>1225.3284831305559</v>
      </c>
      <c r="F5" s="3">
        <f>SUMIF('H2 pr endeplass'!$B$4:$B$99,'Energi per fylke'!$A5,'H2 pr endeplass'!I$4:I$99)*365/1000</f>
        <v>1225.3284831305559</v>
      </c>
      <c r="G5" s="3">
        <f>SUMIF('H2 pr endeplass'!$B$4:$B$99,'Energi per fylke'!$A5,'H2 pr endeplass'!J$4:J$99)*365/1000</f>
        <v>1225.3284831305559</v>
      </c>
      <c r="H5" s="3">
        <f>SUMIF('H2 pr endeplass'!$B$4:$B$99,'Energi per fylke'!$A5,'H2 pr endeplass'!K$4:K$99)*365/1000</f>
        <v>2112.9065570845555</v>
      </c>
      <c r="I5" s="3">
        <f>SUMIF('H2 pr endeplass'!$B$4:$B$99,'Energi per fylke'!$A5,'H2 pr endeplass'!L$4:L$99)*365/1000</f>
        <v>2112.9065570845555</v>
      </c>
      <c r="J5" s="3">
        <f>SUMIF('H2 pr endeplass'!$B$4:$B$99,'Energi per fylke'!$A5,'H2 pr endeplass'!M$4:M$99)*365/1000</f>
        <v>2112.9065570845555</v>
      </c>
      <c r="K5" s="3">
        <f>SUMIF('H2 pr endeplass'!$B$4:$B$99,'Energi per fylke'!$A5,'H2 pr endeplass'!N$4:N$99)*365/1000</f>
        <v>2112.9065570845555</v>
      </c>
      <c r="L5" s="3">
        <f>SUMIF('H2 pr endeplass'!$B$4:$B$99,'Energi per fylke'!$A5,'H2 pr endeplass'!O$4:O$99)*365/1000</f>
        <v>2112.9065570845555</v>
      </c>
      <c r="M5" s="3">
        <f>SUMIF('H2 pr endeplass'!$B$4:$B$99,'Energi per fylke'!$A5,'H2 pr endeplass'!P$4:P$99)*365/1000</f>
        <v>2112.9065570845555</v>
      </c>
      <c r="N5" s="3">
        <f>SUMIF('H2 pr endeplass'!$B$4:$B$99,'Energi per fylke'!$A5,'H2 pr endeplass'!Q$4:Q$99)*365/1000</f>
        <v>2112.9065570845555</v>
      </c>
      <c r="O5" s="3">
        <f>SUMIF('H2 pr endeplass'!$B$4:$B$99,'Energi per fylke'!$A5,'H2 pr endeplass'!R$4:R$99)*365/1000</f>
        <v>2112.9065570845555</v>
      </c>
      <c r="P5" s="3">
        <f>SUMIF('H2 pr endeplass'!$B$4:$B$99,'Energi per fylke'!$A5,'H2 pr endeplass'!S$4:S$99)*365/1000</f>
        <v>2112.9065570845555</v>
      </c>
    </row>
    <row r="6" spans="1:16" x14ac:dyDescent="0.3">
      <c r="A6" t="s">
        <v>11</v>
      </c>
      <c r="B6" s="36">
        <v>0</v>
      </c>
      <c r="C6" s="3">
        <f>SUMIF('H2 pr endeplass'!$B$4:$B$99,'Energi per fylke'!$A6,'H2 pr endeplass'!F$4:F$99)*365/1000</f>
        <v>0</v>
      </c>
      <c r="D6" s="3">
        <f>SUMIF('H2 pr endeplass'!$B$4:$B$99,'Energi per fylke'!$A6,'H2 pr endeplass'!G$4:G$99)*365/1000</f>
        <v>0</v>
      </c>
      <c r="E6" s="3">
        <f>SUMIF('H2 pr endeplass'!$B$4:$B$99,'Energi per fylke'!$A6,'H2 pr endeplass'!H$4:H$99)*365/1000</f>
        <v>678.35645722722211</v>
      </c>
      <c r="F6" s="3">
        <f>SUMIF('H2 pr endeplass'!$B$4:$B$99,'Energi per fylke'!$A6,'H2 pr endeplass'!I$4:I$99)*365/1000</f>
        <v>678.35645722722211</v>
      </c>
      <c r="G6" s="3">
        <f>SUMIF('H2 pr endeplass'!$B$4:$B$99,'Energi per fylke'!$A6,'H2 pr endeplass'!J$4:J$99)*365/1000</f>
        <v>678.35645722722211</v>
      </c>
      <c r="H6" s="3">
        <f>SUMIF('H2 pr endeplass'!$B$4:$B$99,'Energi per fylke'!$A6,'H2 pr endeplass'!K$4:K$99)*365/1000</f>
        <v>1079.0202372516667</v>
      </c>
      <c r="I6" s="3">
        <f>SUMIF('H2 pr endeplass'!$B$4:$B$99,'Energi per fylke'!$A6,'H2 pr endeplass'!L$4:L$99)*365/1000</f>
        <v>1079.0202372516667</v>
      </c>
      <c r="J6" s="3">
        <f>SUMIF('H2 pr endeplass'!$B$4:$B$99,'Energi per fylke'!$A6,'H2 pr endeplass'!M$4:M$99)*365/1000</f>
        <v>1079.0202372516667</v>
      </c>
      <c r="K6" s="3">
        <f>SUMIF('H2 pr endeplass'!$B$4:$B$99,'Energi per fylke'!$A6,'H2 pr endeplass'!N$4:N$99)*365/1000</f>
        <v>1079.0202372516667</v>
      </c>
      <c r="L6" s="3">
        <f>SUMIF('H2 pr endeplass'!$B$4:$B$99,'Energi per fylke'!$A6,'H2 pr endeplass'!O$4:O$99)*365/1000</f>
        <v>1079.0202372516667</v>
      </c>
      <c r="M6" s="3">
        <f>SUMIF('H2 pr endeplass'!$B$4:$B$99,'Energi per fylke'!$A6,'H2 pr endeplass'!P$4:P$99)*365/1000</f>
        <v>1079.0202372516667</v>
      </c>
      <c r="N6" s="3">
        <f>SUMIF('H2 pr endeplass'!$B$4:$B$99,'Energi per fylke'!$A6,'H2 pr endeplass'!Q$4:Q$99)*365/1000</f>
        <v>1079.0202372516667</v>
      </c>
      <c r="O6" s="3">
        <f>SUMIF('H2 pr endeplass'!$B$4:$B$99,'Energi per fylke'!$A6,'H2 pr endeplass'!R$4:R$99)*365/1000</f>
        <v>1079.0202372516667</v>
      </c>
      <c r="P6" s="3">
        <f>SUMIF('H2 pr endeplass'!$B$4:$B$99,'Energi per fylke'!$A6,'H2 pr endeplass'!S$4:S$99)*365/1000</f>
        <v>1079.0202372516667</v>
      </c>
    </row>
    <row r="7" spans="1:16" x14ac:dyDescent="0.3">
      <c r="A7" t="s">
        <v>389</v>
      </c>
      <c r="B7" s="36">
        <v>0</v>
      </c>
      <c r="C7" s="3">
        <f>SUMIF('H2 pr endeplass'!$B$4:$B$99,'Energi per fylke'!$A7,'H2 pr endeplass'!F$4:F$99)*365/1000</f>
        <v>0</v>
      </c>
      <c r="D7" s="3">
        <f>SUMIF('H2 pr endeplass'!$B$4:$B$99,'Energi per fylke'!$A7,'H2 pr endeplass'!G$4:G$99)*365/1000</f>
        <v>0</v>
      </c>
      <c r="E7" s="3">
        <f>SUMIF('H2 pr endeplass'!$B$4:$B$99,'Energi per fylke'!$A7,'H2 pr endeplass'!H$4:H$99)*365/1000</f>
        <v>0</v>
      </c>
      <c r="F7" s="3">
        <f>SUMIF('H2 pr endeplass'!$B$4:$B$99,'Energi per fylke'!$A7,'H2 pr endeplass'!I$4:I$99)*365/1000</f>
        <v>461.71165595822225</v>
      </c>
      <c r="G7" s="3">
        <f>SUMIF('H2 pr endeplass'!$B$4:$B$99,'Energi per fylke'!$A7,'H2 pr endeplass'!J$4:J$99)*365/1000</f>
        <v>461.71165595822225</v>
      </c>
      <c r="H7" s="3">
        <f>SUMIF('H2 pr endeplass'!$B$4:$B$99,'Energi per fylke'!$A7,'H2 pr endeplass'!K$4:K$99)*365/1000</f>
        <v>461.71165595822225</v>
      </c>
      <c r="I7" s="3">
        <f>SUMIF('H2 pr endeplass'!$B$4:$B$99,'Energi per fylke'!$A7,'H2 pr endeplass'!L$4:L$99)*365/1000</f>
        <v>461.71165595822225</v>
      </c>
      <c r="J7" s="3">
        <f>SUMIF('H2 pr endeplass'!$B$4:$B$99,'Energi per fylke'!$A7,'H2 pr endeplass'!M$4:M$99)*365/1000</f>
        <v>561.11168697422227</v>
      </c>
      <c r="K7" s="3">
        <f>SUMIF('H2 pr endeplass'!$B$4:$B$99,'Energi per fylke'!$A7,'H2 pr endeplass'!N$4:N$99)*365/1000</f>
        <v>615.92788054922232</v>
      </c>
      <c r="L7" s="3">
        <f>SUMIF('H2 pr endeplass'!$B$4:$B$99,'Energi per fylke'!$A7,'H2 pr endeplass'!O$4:O$99)*365/1000</f>
        <v>615.92788054922232</v>
      </c>
      <c r="M7" s="3">
        <f>SUMIF('H2 pr endeplass'!$B$4:$B$99,'Energi per fylke'!$A7,'H2 pr endeplass'!P$4:P$99)*365/1000</f>
        <v>615.92788054922232</v>
      </c>
      <c r="N7" s="3">
        <f>SUMIF('H2 pr endeplass'!$B$4:$B$99,'Energi per fylke'!$A7,'H2 pr endeplass'!Q$4:Q$99)*365/1000</f>
        <v>727.99654296922233</v>
      </c>
      <c r="O7" s="3">
        <f>SUMIF('H2 pr endeplass'!$B$4:$B$99,'Energi per fylke'!$A7,'H2 pr endeplass'!R$4:R$99)*365/1000</f>
        <v>727.99654296922233</v>
      </c>
      <c r="P7" s="3">
        <f>SUMIF('H2 pr endeplass'!$B$4:$B$99,'Energi per fylke'!$A7,'H2 pr endeplass'!S$4:S$99)*365/1000</f>
        <v>1284.7016550477779</v>
      </c>
    </row>
    <row r="8" spans="1:16" x14ac:dyDescent="0.3">
      <c r="A8" t="s">
        <v>19</v>
      </c>
      <c r="B8" s="36">
        <v>0</v>
      </c>
      <c r="C8" s="3">
        <f>SUMIF('H2 pr endeplass'!$B$4:$B$99,'Energi per fylke'!$A8,'H2 pr endeplass'!F$4:F$99)*365/1000</f>
        <v>0</v>
      </c>
      <c r="D8" s="3">
        <f>SUMIF('H2 pr endeplass'!$B$4:$B$99,'Energi per fylke'!$A8,'H2 pr endeplass'!G$4:G$99)*365/1000</f>
        <v>976.74534796800015</v>
      </c>
      <c r="E8" s="3">
        <f>SUMIF('H2 pr endeplass'!$B$4:$B$99,'Energi per fylke'!$A8,'H2 pr endeplass'!H$4:H$99)*365/1000</f>
        <v>976.74534796800015</v>
      </c>
      <c r="F8" s="3">
        <f>SUMIF('H2 pr endeplass'!$B$4:$B$99,'Energi per fylke'!$A8,'H2 pr endeplass'!I$4:I$99)*365/1000</f>
        <v>976.74534796800015</v>
      </c>
      <c r="G8" s="3">
        <f>SUMIF('H2 pr endeplass'!$B$4:$B$99,'Energi per fylke'!$A8,'H2 pr endeplass'!J$4:J$99)*365/1000</f>
        <v>976.74534796800015</v>
      </c>
      <c r="H8" s="3">
        <f>SUMIF('H2 pr endeplass'!$B$4:$B$99,'Energi per fylke'!$A8,'H2 pr endeplass'!K$4:K$99)*365/1000</f>
        <v>976.74534796800015</v>
      </c>
      <c r="I8" s="3">
        <f>SUMIF('H2 pr endeplass'!$B$4:$B$99,'Energi per fylke'!$A8,'H2 pr endeplass'!L$4:L$99)*365/1000</f>
        <v>976.74534796800015</v>
      </c>
      <c r="J8" s="3">
        <f>SUMIF('H2 pr endeplass'!$B$4:$B$99,'Energi per fylke'!$A8,'H2 pr endeplass'!M$4:M$99)*365/1000</f>
        <v>976.74534796800015</v>
      </c>
      <c r="K8" s="3">
        <f>SUMIF('H2 pr endeplass'!$B$4:$B$99,'Energi per fylke'!$A8,'H2 pr endeplass'!N$4:N$99)*365/1000</f>
        <v>1089.788520496</v>
      </c>
      <c r="L8" s="3">
        <f>SUMIF('H2 pr endeplass'!$B$4:$B$99,'Energi per fylke'!$A8,'H2 pr endeplass'!O$4:O$99)*365/1000</f>
        <v>1089.788520496</v>
      </c>
      <c r="M8" s="3">
        <f>SUMIF('H2 pr endeplass'!$B$4:$B$99,'Energi per fylke'!$A8,'H2 pr endeplass'!P$4:P$99)*365/1000</f>
        <v>1089.788520496</v>
      </c>
      <c r="N8" s="3">
        <f>SUMIF('H2 pr endeplass'!$B$4:$B$99,'Energi per fylke'!$A8,'H2 pr endeplass'!Q$4:Q$99)*365/1000</f>
        <v>1089.788520496</v>
      </c>
      <c r="O8" s="3">
        <f>SUMIF('H2 pr endeplass'!$B$4:$B$99,'Energi per fylke'!$A8,'H2 pr endeplass'!R$4:R$99)*365/1000</f>
        <v>1089.788520496</v>
      </c>
      <c r="P8" s="3">
        <f>SUMIF('H2 pr endeplass'!$B$4:$B$99,'Energi per fylke'!$A8,'H2 pr endeplass'!S$4:S$99)*365/1000</f>
        <v>1089.788520496</v>
      </c>
    </row>
    <row r="9" spans="1:16" x14ac:dyDescent="0.3">
      <c r="A9" t="s">
        <v>8</v>
      </c>
      <c r="B9" s="36">
        <v>0</v>
      </c>
      <c r="C9" s="3">
        <f>SUMIF('H2 pr endeplass'!$B$4:$B$99,'Energi per fylke'!$A9,'H2 pr endeplass'!F$4:F$99)*365/1000</f>
        <v>0</v>
      </c>
      <c r="D9" s="3">
        <f>SUMIF('H2 pr endeplass'!$B$4:$B$99,'Energi per fylke'!$A9,'H2 pr endeplass'!G$4:G$99)*365/1000</f>
        <v>346.10101297200004</v>
      </c>
      <c r="E9" s="3">
        <f>SUMIF('H2 pr endeplass'!$B$4:$B$99,'Energi per fylke'!$A9,'H2 pr endeplass'!H$4:H$99)*365/1000</f>
        <v>346.10101297200004</v>
      </c>
      <c r="F9" s="3">
        <f>SUMIF('H2 pr endeplass'!$B$4:$B$99,'Energi per fylke'!$A9,'H2 pr endeplass'!I$4:I$99)*365/1000</f>
        <v>346.10101297200004</v>
      </c>
      <c r="G9" s="3">
        <f>SUMIF('H2 pr endeplass'!$B$4:$B$99,'Energi per fylke'!$A9,'H2 pr endeplass'!J$4:J$99)*365/1000</f>
        <v>731.44651319422223</v>
      </c>
      <c r="H9" s="3">
        <f>SUMIF('H2 pr endeplass'!$B$4:$B$99,'Energi per fylke'!$A9,'H2 pr endeplass'!K$4:K$99)*365/1000</f>
        <v>731.44651319422223</v>
      </c>
      <c r="I9" s="3">
        <f>SUMIF('H2 pr endeplass'!$B$4:$B$99,'Energi per fylke'!$A9,'H2 pr endeplass'!L$4:L$99)*365/1000</f>
        <v>731.44651319422223</v>
      </c>
      <c r="J9" s="3">
        <f>SUMIF('H2 pr endeplass'!$B$4:$B$99,'Energi per fylke'!$A9,'H2 pr endeplass'!M$4:M$99)*365/1000</f>
        <v>731.44651319422223</v>
      </c>
      <c r="K9" s="3">
        <f>SUMIF('H2 pr endeplass'!$B$4:$B$99,'Energi per fylke'!$A9,'H2 pr endeplass'!N$4:N$99)*365/1000</f>
        <v>731.44651319422223</v>
      </c>
      <c r="L9" s="3">
        <f>SUMIF('H2 pr endeplass'!$B$4:$B$99,'Energi per fylke'!$A9,'H2 pr endeplass'!O$4:O$99)*365/1000</f>
        <v>731.44651319422223</v>
      </c>
      <c r="M9" s="3">
        <f>SUMIF('H2 pr endeplass'!$B$4:$B$99,'Energi per fylke'!$A9,'H2 pr endeplass'!P$4:P$99)*365/1000</f>
        <v>731.44651319422223</v>
      </c>
      <c r="N9" s="3">
        <f>SUMIF('H2 pr endeplass'!$B$4:$B$99,'Energi per fylke'!$A9,'H2 pr endeplass'!Q$4:Q$99)*365/1000</f>
        <v>731.44651319422223</v>
      </c>
      <c r="O9" s="3">
        <f>SUMIF('H2 pr endeplass'!$B$4:$B$99,'Energi per fylke'!$A9,'H2 pr endeplass'!R$4:R$99)*365/1000</f>
        <v>731.44651319422223</v>
      </c>
      <c r="P9" s="3">
        <f>SUMIF('H2 pr endeplass'!$B$4:$B$99,'Energi per fylke'!$A9,'H2 pr endeplass'!S$4:S$99)*365/1000</f>
        <v>731.44651319422223</v>
      </c>
    </row>
    <row r="10" spans="1:16" x14ac:dyDescent="0.3">
      <c r="A10" t="s">
        <v>6</v>
      </c>
      <c r="B10" s="36">
        <v>0</v>
      </c>
      <c r="C10" s="3">
        <f>SUMIF('H2 pr endeplass'!$B$4:$B$99,'Energi per fylke'!$A10,'H2 pr endeplass'!F$4:F$99)*365/1000</f>
        <v>0</v>
      </c>
      <c r="D10" s="3">
        <f>SUMIF('H2 pr endeplass'!$B$4:$B$99,'Energi per fylke'!$A10,'H2 pr endeplass'!G$4:G$99)*365/1000</f>
        <v>0</v>
      </c>
      <c r="E10" s="3">
        <f>SUMIF('H2 pr endeplass'!$B$4:$B$99,'Energi per fylke'!$A10,'H2 pr endeplass'!H$4:H$99)*365/1000</f>
        <v>273.54911625599999</v>
      </c>
      <c r="F10" s="3">
        <f>SUMIF('H2 pr endeplass'!$B$4:$B$99,'Energi per fylke'!$A10,'H2 pr endeplass'!I$4:I$99)*365/1000</f>
        <v>273.54911625599999</v>
      </c>
      <c r="G10" s="3">
        <f>SUMIF('H2 pr endeplass'!$B$4:$B$99,'Energi per fylke'!$A10,'H2 pr endeplass'!J$4:J$99)*365/1000</f>
        <v>273.54911625599999</v>
      </c>
      <c r="H10" s="3">
        <f>SUMIF('H2 pr endeplass'!$B$4:$B$99,'Energi per fylke'!$A10,'H2 pr endeplass'!K$4:K$99)*365/1000</f>
        <v>273.54911625599999</v>
      </c>
      <c r="I10" s="3">
        <f>SUMIF('H2 pr endeplass'!$B$4:$B$99,'Energi per fylke'!$A10,'H2 pr endeplass'!L$4:L$99)*365/1000</f>
        <v>273.54911625599999</v>
      </c>
      <c r="J10" s="3">
        <f>SUMIF('H2 pr endeplass'!$B$4:$B$99,'Energi per fylke'!$A10,'H2 pr endeplass'!M$4:M$99)*365/1000</f>
        <v>273.54911625599999</v>
      </c>
      <c r="K10" s="3">
        <f>SUMIF('H2 pr endeplass'!$B$4:$B$99,'Energi per fylke'!$A10,'H2 pr endeplass'!N$4:N$99)*365/1000</f>
        <v>273.54911625599999</v>
      </c>
      <c r="L10" s="3">
        <f>SUMIF('H2 pr endeplass'!$B$4:$B$99,'Energi per fylke'!$A10,'H2 pr endeplass'!O$4:O$99)*365/1000</f>
        <v>273.54911625599999</v>
      </c>
      <c r="M10" s="3">
        <f>SUMIF('H2 pr endeplass'!$B$4:$B$99,'Energi per fylke'!$A10,'H2 pr endeplass'!P$4:P$99)*365/1000</f>
        <v>273.54911625599999</v>
      </c>
      <c r="N10" s="3">
        <f>SUMIF('H2 pr endeplass'!$B$4:$B$99,'Energi per fylke'!$A10,'H2 pr endeplass'!Q$4:Q$99)*365/1000</f>
        <v>273.54911625599999</v>
      </c>
      <c r="O10" s="3">
        <f>SUMIF('H2 pr endeplass'!$B$4:$B$99,'Energi per fylke'!$A10,'H2 pr endeplass'!R$4:R$99)*365/1000</f>
        <v>273.54911625599999</v>
      </c>
      <c r="P10" s="3">
        <f>SUMIF('H2 pr endeplass'!$B$4:$B$99,'Energi per fylke'!$A10,'H2 pr endeplass'!S$4:S$99)*365/1000</f>
        <v>273.54911625599999</v>
      </c>
    </row>
    <row r="11" spans="1:16" x14ac:dyDescent="0.3">
      <c r="A11" t="s">
        <v>390</v>
      </c>
      <c r="B11" s="36">
        <v>0</v>
      </c>
      <c r="C11" s="3">
        <f>SUMIF('H2 pr endeplass'!$B$4:$B$99,'Energi per fylke'!$A11,'H2 pr endeplass'!F$4:F$99)*365/1000</f>
        <v>0</v>
      </c>
      <c r="D11" s="3">
        <f>SUMIF('H2 pr endeplass'!$B$4:$B$99,'Energi per fylke'!$A11,'H2 pr endeplass'!G$4:G$99)*365/1000</f>
        <v>0</v>
      </c>
      <c r="E11" s="3">
        <f>SUMIF('H2 pr endeplass'!$B$4:$B$99,'Energi per fylke'!$A11,'H2 pr endeplass'!H$4:H$99)*365/1000</f>
        <v>0</v>
      </c>
      <c r="F11" s="3">
        <f>SUMIF('H2 pr endeplass'!$B$4:$B$99,'Energi per fylke'!$A11,'H2 pr endeplass'!I$4:I$99)*365/1000</f>
        <v>0</v>
      </c>
      <c r="G11" s="3">
        <f>SUMIF('H2 pr endeplass'!$B$4:$B$99,'Energi per fylke'!$A11,'H2 pr endeplass'!J$4:J$99)*365/1000</f>
        <v>0</v>
      </c>
      <c r="H11" s="3">
        <f>SUMIF('H2 pr endeplass'!$B$4:$B$99,'Energi per fylke'!$A11,'H2 pr endeplass'!K$4:K$99)*365/1000</f>
        <v>0</v>
      </c>
      <c r="I11" s="3">
        <f>SUMIF('H2 pr endeplass'!$B$4:$B$99,'Energi per fylke'!$A11,'H2 pr endeplass'!L$4:L$99)*365/1000</f>
        <v>0</v>
      </c>
      <c r="J11" s="3">
        <f>SUMIF('H2 pr endeplass'!$B$4:$B$99,'Energi per fylke'!$A11,'H2 pr endeplass'!M$4:M$99)*365/1000</f>
        <v>0</v>
      </c>
      <c r="K11" s="3">
        <f>SUMIF('H2 pr endeplass'!$B$4:$B$99,'Energi per fylke'!$A11,'H2 pr endeplass'!N$4:N$99)*365/1000</f>
        <v>0</v>
      </c>
      <c r="L11" s="3">
        <f>SUMIF('H2 pr endeplass'!$B$4:$B$99,'Energi per fylke'!$A11,'H2 pr endeplass'!O$4:O$99)*365/1000</f>
        <v>0</v>
      </c>
      <c r="M11" s="3">
        <f>SUMIF('H2 pr endeplass'!$B$4:$B$99,'Energi per fylke'!$A11,'H2 pr endeplass'!P$4:P$99)*365/1000</f>
        <v>0</v>
      </c>
      <c r="N11" s="3">
        <f>SUMIF('H2 pr endeplass'!$B$4:$B$99,'Energi per fylke'!$A11,'H2 pr endeplass'!Q$4:Q$99)*365/1000</f>
        <v>0</v>
      </c>
      <c r="O11" s="3">
        <f>SUMIF('H2 pr endeplass'!$B$4:$B$99,'Energi per fylke'!$A11,'H2 pr endeplass'!R$4:R$99)*365/1000</f>
        <v>0</v>
      </c>
      <c r="P11" s="3">
        <f>SUMIF('H2 pr endeplass'!$B$4:$B$99,'Energi per fylke'!$A11,'H2 pr endeplass'!S$4:S$99)*365/1000</f>
        <v>0</v>
      </c>
    </row>
    <row r="12" spans="1:16" x14ac:dyDescent="0.3">
      <c r="A12" t="s">
        <v>405</v>
      </c>
      <c r="B12" s="3">
        <f t="shared" ref="B12:P12" si="1">SUM(B4:B11)</f>
        <v>0</v>
      </c>
      <c r="C12" s="3">
        <f t="shared" si="1"/>
        <v>2005.3337851776669</v>
      </c>
      <c r="D12" s="3">
        <f t="shared" si="1"/>
        <v>3401.7342351041116</v>
      </c>
      <c r="E12" s="3">
        <f t="shared" si="1"/>
        <v>5600.7336536175553</v>
      </c>
      <c r="F12" s="3">
        <f t="shared" si="1"/>
        <v>6062.4453095757772</v>
      </c>
      <c r="G12" s="3">
        <f t="shared" si="1"/>
        <v>6508.5352731966668</v>
      </c>
      <c r="H12" s="3">
        <f t="shared" si="1"/>
        <v>8442.6209625578886</v>
      </c>
      <c r="I12" s="3">
        <f t="shared" si="1"/>
        <v>8442.6209625578886</v>
      </c>
      <c r="J12" s="3">
        <f t="shared" si="1"/>
        <v>8542.0209935738876</v>
      </c>
      <c r="K12" s="3">
        <f>SUM(K4:K11)</f>
        <v>8709.8803596768885</v>
      </c>
      <c r="L12" s="3">
        <f t="shared" si="1"/>
        <v>8709.8803596768885</v>
      </c>
      <c r="M12" s="3">
        <f t="shared" si="1"/>
        <v>8709.8803596768885</v>
      </c>
      <c r="N12" s="3">
        <f t="shared" si="1"/>
        <v>8821.9490220968873</v>
      </c>
      <c r="O12" s="3">
        <f t="shared" si="1"/>
        <v>8821.9490220968873</v>
      </c>
      <c r="P12" s="3">
        <f t="shared" si="1"/>
        <v>9378.6541341754437</v>
      </c>
    </row>
    <row r="16" spans="1:16" x14ac:dyDescent="0.3">
      <c r="C16" s="45" t="s">
        <v>415</v>
      </c>
      <c r="D16" s="45"/>
      <c r="E16" s="45"/>
      <c r="F16" s="45"/>
      <c r="G16" s="45"/>
      <c r="H16" s="45"/>
      <c r="I16" s="45"/>
      <c r="J16" s="45"/>
      <c r="K16" s="45"/>
    </row>
    <row r="17" spans="1:16" x14ac:dyDescent="0.3">
      <c r="C17" s="35">
        <v>44926</v>
      </c>
      <c r="D17" s="35">
        <v>45291</v>
      </c>
      <c r="E17" s="35">
        <v>45657</v>
      </c>
      <c r="F17" s="35">
        <v>46022</v>
      </c>
      <c r="G17" s="35">
        <v>46387</v>
      </c>
      <c r="H17" s="35">
        <v>46752</v>
      </c>
      <c r="I17" s="35">
        <v>47118</v>
      </c>
      <c r="J17" s="35">
        <v>47483</v>
      </c>
      <c r="K17" s="35">
        <v>47848</v>
      </c>
      <c r="L17" s="35">
        <v>48213</v>
      </c>
      <c r="M17" s="35">
        <v>48579</v>
      </c>
      <c r="N17" s="35">
        <v>48944</v>
      </c>
      <c r="O17" s="35">
        <v>49309</v>
      </c>
      <c r="P17" s="35">
        <v>49674</v>
      </c>
    </row>
    <row r="18" spans="1:16" x14ac:dyDescent="0.3">
      <c r="A18" s="24" t="s">
        <v>2</v>
      </c>
      <c r="B18" s="37">
        <v>2021</v>
      </c>
      <c r="C18" s="24">
        <f>YEAR(C17)</f>
        <v>2022</v>
      </c>
      <c r="D18" s="24">
        <f t="shared" ref="D18:P18" si="2">YEAR(D17)</f>
        <v>2023</v>
      </c>
      <c r="E18" s="24">
        <f t="shared" si="2"/>
        <v>2024</v>
      </c>
      <c r="F18" s="24">
        <f t="shared" si="2"/>
        <v>2025</v>
      </c>
      <c r="G18" s="24">
        <f t="shared" si="2"/>
        <v>2026</v>
      </c>
      <c r="H18" s="24">
        <f t="shared" si="2"/>
        <v>2027</v>
      </c>
      <c r="I18" s="24">
        <f t="shared" si="2"/>
        <v>2028</v>
      </c>
      <c r="J18" s="24">
        <f t="shared" si="2"/>
        <v>2029</v>
      </c>
      <c r="K18" s="24">
        <f t="shared" si="2"/>
        <v>2030</v>
      </c>
      <c r="L18" s="24">
        <f t="shared" si="2"/>
        <v>2031</v>
      </c>
      <c r="M18" s="24">
        <f t="shared" si="2"/>
        <v>2032</v>
      </c>
      <c r="N18" s="24">
        <f t="shared" si="2"/>
        <v>2033</v>
      </c>
      <c r="O18" s="24">
        <f t="shared" si="2"/>
        <v>2034</v>
      </c>
      <c r="P18" s="24">
        <f t="shared" si="2"/>
        <v>2035</v>
      </c>
    </row>
    <row r="19" spans="1:16" x14ac:dyDescent="0.3">
      <c r="A19" t="s">
        <v>388</v>
      </c>
      <c r="B19" s="36">
        <v>0</v>
      </c>
      <c r="C19" s="4">
        <f>SUMIFS('Alle ruter'!$AA$3:$AA$98,'Alle ruter'!$Z$3:$Z$98,"H2",'Alle ruter'!$AJ$3:$AJ$98,"&lt;="&amp;C$17,'Alle ruter'!$AH$3:$AH$98,'Energi per fylke'!$A19)/1000000</f>
        <v>14.211763860708697</v>
      </c>
      <c r="D19" s="4">
        <f>SUMIFS('Alle ruter'!$AA$3:$AA$98,'Alle ruter'!$Z$3:$Z$98,"H2",'Alle ruter'!$AJ$3:$AJ$98,"&lt;="&amp;D$17,'Alle ruter'!$AH$3:$AH$98,'Energi per fylke'!$A19)/1000000</f>
        <v>14.211763860708697</v>
      </c>
      <c r="E19" s="4">
        <f>SUMIFS('Alle ruter'!$AA$3:$AA$98,'Alle ruter'!$Z$3:$Z$98,"H2",'Alle ruter'!$AJ$3:$AJ$98,"&lt;="&amp;E$17,'Alle ruter'!$AH$3:$AH$98,'Energi per fylke'!$A19)/1000000</f>
        <v>34.975876380461891</v>
      </c>
      <c r="F19" s="4">
        <f>SUMIFS('Alle ruter'!$AA$3:$AA$98,'Alle ruter'!$Z$3:$Z$98,"H2",'Alle ruter'!$AJ$3:$AJ$98,"&lt;="&amp;F$17,'Alle ruter'!$AH$3:$AH$98,'Energi per fylke'!$A19)/1000000</f>
        <v>34.975876380461891</v>
      </c>
      <c r="G19" s="4">
        <f>SUMIFS('Alle ruter'!$AA$3:$AA$98,'Alle ruter'!$Z$3:$Z$98,"H2",'Alle ruter'!$AJ$3:$AJ$98,"&lt;="&amp;G$17,'Alle ruter'!$AH$3:$AH$98,'Energi per fylke'!$A19)/1000000</f>
        <v>35.987271696049696</v>
      </c>
      <c r="H19" s="4">
        <f>SUMIFS('Alle ruter'!$AA$3:$AA$98,'Alle ruter'!$Z$3:$Z$98,"H2",'Alle ruter'!$AJ$3:$AJ$98,"&lt;="&amp;H$17,'Alle ruter'!$AH$3:$AH$98,'Energi per fylke'!$A19)/1000000</f>
        <v>53.411623492579935</v>
      </c>
      <c r="I19" s="4">
        <f>SUMIFS('Alle ruter'!$AA$3:$AA$98,'Alle ruter'!$Z$3:$Z$98,"H2",'Alle ruter'!$AJ$3:$AJ$98,"&lt;="&amp;I$17,'Alle ruter'!$AH$3:$AH$98,'Energi per fylke'!$A19)/1000000</f>
        <v>53.411623492579935</v>
      </c>
      <c r="J19" s="4">
        <f>SUMIFS('Alle ruter'!$AA$3:$AA$98,'Alle ruter'!$Z$3:$Z$98,"H2",'Alle ruter'!$AJ$3:$AJ$98,"&lt;="&amp;J$17,'Alle ruter'!$AH$3:$AH$98,'Energi per fylke'!$A19)/1000000</f>
        <v>53.411623492579935</v>
      </c>
      <c r="K19" s="4">
        <f>SUMIFS('Alle ruter'!$AA$3:$AA$98,'Alle ruter'!$Z$3:$Z$98,"H2",'Alle ruter'!$AJ$3:$AJ$98,"&lt;="&amp;K$17,'Alle ruter'!$AH$3:$AH$98,'Energi per fylke'!$A19)/1000000</f>
        <v>53.411623492579935</v>
      </c>
      <c r="L19" s="4">
        <f>SUMIFS('Alle ruter'!$AA$3:$AA$98,'Alle ruter'!$Z$3:$Z$98,"H2",'Alle ruter'!$AJ$3:$AJ$98,"&lt;="&amp;L$17,'Alle ruter'!$AH$3:$AH$98,'Energi per fylke'!$A19)/1000000</f>
        <v>53.411623492579935</v>
      </c>
      <c r="M19" s="4">
        <f>SUMIFS('Alle ruter'!$AA$3:$AA$98,'Alle ruter'!$Z$3:$Z$98,"H2",'Alle ruter'!$AJ$3:$AJ$98,"&lt;="&amp;M$17,'Alle ruter'!$AH$3:$AH$98,'Energi per fylke'!$A19)/1000000</f>
        <v>53.411623492579935</v>
      </c>
      <c r="N19" s="4">
        <f>SUMIFS('Alle ruter'!$AA$3:$AA$98,'Alle ruter'!$Z$3:$Z$98,"H2",'Alle ruter'!$AJ$3:$AJ$98,"&lt;="&amp;N$17,'Alle ruter'!$AH$3:$AH$98,'Energi per fylke'!$A19)/1000000</f>
        <v>53.411623492579935</v>
      </c>
      <c r="O19" s="4">
        <f>SUMIFS('Alle ruter'!$AA$3:$AA$98,'Alle ruter'!$Z$3:$Z$98,"H2",'Alle ruter'!$AJ$3:$AJ$98,"&lt;="&amp;O$17,'Alle ruter'!$AH$3:$AH$98,'Energi per fylke'!$A19)/1000000</f>
        <v>53.411623492579935</v>
      </c>
      <c r="P19" s="4">
        <f>SUMIFS('Alle ruter'!$AA$3:$AA$98,'Alle ruter'!$Z$3:$Z$98,"H2",'Alle ruter'!$AJ$3:$AJ$98,"&lt;="&amp;P$17,'Alle ruter'!$AH$3:$AH$98,'Energi per fylke'!$A19)/1000000</f>
        <v>53.411623492579935</v>
      </c>
    </row>
    <row r="20" spans="1:16" x14ac:dyDescent="0.3">
      <c r="A20" t="s">
        <v>15</v>
      </c>
      <c r="B20" s="36">
        <v>0</v>
      </c>
      <c r="C20" s="4">
        <f>SUMIFS('Alle ruter'!$AA$3:$AA$98,'Alle ruter'!$Z$3:$Z$98,"H2",'Alle ruter'!$AJ$3:$AJ$98,"&lt;="&amp;C$17,'Alle ruter'!$AH$3:$AH$98,'Energi per fylke'!$A20)/1000000</f>
        <v>19.17704366249945</v>
      </c>
      <c r="D20" s="4">
        <f>SUMIFS('Alle ruter'!$AA$3:$AA$98,'Alle ruter'!$Z$3:$Z$98,"H2",'Alle ruter'!$AJ$3:$AJ$98,"&lt;="&amp;D$17,'Alle ruter'!$AH$3:$AH$98,'Energi per fylke'!$A20)/1000000</f>
        <v>20.40171924412375</v>
      </c>
      <c r="E20" s="4">
        <f>SUMIFS('Alle ruter'!$AA$3:$AA$98,'Alle ruter'!$Z$3:$Z$98,"H2",'Alle ruter'!$AJ$3:$AJ$98,"&lt;="&amp;E$17,'Alle ruter'!$AH$3:$AH$98,'Energi per fylke'!$A20)/1000000</f>
        <v>20.40171924412375</v>
      </c>
      <c r="F20" s="4">
        <f>SUMIFS('Alle ruter'!$AA$3:$AA$98,'Alle ruter'!$Z$3:$Z$98,"H2",'Alle ruter'!$AJ$3:$AJ$98,"&lt;="&amp;F$17,'Alle ruter'!$AH$3:$AH$98,'Energi per fylke'!$A20)/1000000</f>
        <v>20.40171924412375</v>
      </c>
      <c r="G20" s="4">
        <f>SUMIFS('Alle ruter'!$AA$3:$AA$98,'Alle ruter'!$Z$3:$Z$98,"H2",'Alle ruter'!$AJ$3:$AJ$98,"&lt;="&amp;G$17,'Alle ruter'!$AH$3:$AH$98,'Energi per fylke'!$A20)/1000000</f>
        <v>20.40171924412375</v>
      </c>
      <c r="H20" s="4">
        <f>SUMIFS('Alle ruter'!$AA$3:$AA$98,'Alle ruter'!$Z$3:$Z$98,"H2",'Alle ruter'!$AJ$3:$AJ$98,"&lt;="&amp;H$17,'Alle ruter'!$AH$3:$AH$98,'Energi per fylke'!$A20)/1000000</f>
        <v>35.179894175457839</v>
      </c>
      <c r="I20" s="4">
        <f>SUMIFS('Alle ruter'!$AA$3:$AA$98,'Alle ruter'!$Z$3:$Z$98,"H2",'Alle ruter'!$AJ$3:$AJ$98,"&lt;="&amp;I$17,'Alle ruter'!$AH$3:$AH$98,'Energi per fylke'!$A20)/1000000</f>
        <v>35.179894175457839</v>
      </c>
      <c r="J20" s="4">
        <f>SUMIFS('Alle ruter'!$AA$3:$AA$98,'Alle ruter'!$Z$3:$Z$98,"H2",'Alle ruter'!$AJ$3:$AJ$98,"&lt;="&amp;J$17,'Alle ruter'!$AH$3:$AH$98,'Energi per fylke'!$A20)/1000000</f>
        <v>35.179894175457839</v>
      </c>
      <c r="K20" s="4">
        <f>SUMIFS('Alle ruter'!$AA$3:$AA$98,'Alle ruter'!$Z$3:$Z$98,"H2",'Alle ruter'!$AJ$3:$AJ$98,"&lt;="&amp;K$17,'Alle ruter'!$AH$3:$AH$98,'Energi per fylke'!$A20)/1000000</f>
        <v>35.179894175457839</v>
      </c>
      <c r="L20" s="4">
        <f>SUMIFS('Alle ruter'!$AA$3:$AA$98,'Alle ruter'!$Z$3:$Z$98,"H2",'Alle ruter'!$AJ$3:$AJ$98,"&lt;="&amp;L$17,'Alle ruter'!$AH$3:$AH$98,'Energi per fylke'!$A20)/1000000</f>
        <v>35.179894175457839</v>
      </c>
      <c r="M20" s="4">
        <f>SUMIFS('Alle ruter'!$AA$3:$AA$98,'Alle ruter'!$Z$3:$Z$98,"H2",'Alle ruter'!$AJ$3:$AJ$98,"&lt;="&amp;M$17,'Alle ruter'!$AH$3:$AH$98,'Energi per fylke'!$A20)/1000000</f>
        <v>35.179894175457839</v>
      </c>
      <c r="N20" s="4">
        <f>SUMIFS('Alle ruter'!$AA$3:$AA$98,'Alle ruter'!$Z$3:$Z$98,"H2",'Alle ruter'!$AJ$3:$AJ$98,"&lt;="&amp;N$17,'Alle ruter'!$AH$3:$AH$98,'Energi per fylke'!$A20)/1000000</f>
        <v>35.179894175457839</v>
      </c>
      <c r="O20" s="4">
        <f>SUMIFS('Alle ruter'!$AA$3:$AA$98,'Alle ruter'!$Z$3:$Z$98,"H2",'Alle ruter'!$AJ$3:$AJ$98,"&lt;="&amp;O$17,'Alle ruter'!$AH$3:$AH$98,'Energi per fylke'!$A20)/1000000</f>
        <v>35.179894175457839</v>
      </c>
      <c r="P20" s="4">
        <f>SUMIFS('Alle ruter'!$AA$3:$AA$98,'Alle ruter'!$Z$3:$Z$98,"H2",'Alle ruter'!$AJ$3:$AJ$98,"&lt;="&amp;P$17,'Alle ruter'!$AH$3:$AH$98,'Energi per fylke'!$A20)/1000000</f>
        <v>35.179894175457839</v>
      </c>
    </row>
    <row r="21" spans="1:16" x14ac:dyDescent="0.3">
      <c r="A21" t="s">
        <v>11</v>
      </c>
      <c r="B21" s="36">
        <v>0</v>
      </c>
      <c r="C21" s="4">
        <f>SUMIFS('Alle ruter'!$AA$3:$AA$98,'Alle ruter'!$Z$3:$Z$98,"H2",'Alle ruter'!$AJ$3:$AJ$98,"&lt;="&amp;C$17,'Alle ruter'!$AH$3:$AH$98,'Energi per fylke'!$A21)/1000000</f>
        <v>0</v>
      </c>
      <c r="D21" s="4">
        <f>SUMIFS('Alle ruter'!$AA$3:$AA$98,'Alle ruter'!$Z$3:$Z$98,"H2",'Alle ruter'!$AJ$3:$AJ$98,"&lt;="&amp;D$17,'Alle ruter'!$AH$3:$AH$98,'Energi per fylke'!$A21)/1000000</f>
        <v>0</v>
      </c>
      <c r="E21" s="4">
        <f>SUMIFS('Alle ruter'!$AA$3:$AA$98,'Alle ruter'!$Z$3:$Z$98,"H2",'Alle ruter'!$AJ$3:$AJ$98,"&lt;="&amp;E$17,'Alle ruter'!$AH$3:$AH$98,'Energi per fylke'!$A21)/1000000</f>
        <v>11.294635012833249</v>
      </c>
      <c r="F21" s="4">
        <f>SUMIFS('Alle ruter'!$AA$3:$AA$98,'Alle ruter'!$Z$3:$Z$98,"H2",'Alle ruter'!$AJ$3:$AJ$98,"&lt;="&amp;F$17,'Alle ruter'!$AH$3:$AH$98,'Energi per fylke'!$A21)/1000000</f>
        <v>11.294635012833249</v>
      </c>
      <c r="G21" s="4">
        <f>SUMIFS('Alle ruter'!$AA$3:$AA$98,'Alle ruter'!$Z$3:$Z$98,"H2",'Alle ruter'!$AJ$3:$AJ$98,"&lt;="&amp;G$17,'Alle ruter'!$AH$3:$AH$98,'Energi per fylke'!$A21)/1000000</f>
        <v>11.294635012833249</v>
      </c>
      <c r="H21" s="4">
        <f>SUMIFS('Alle ruter'!$AA$3:$AA$98,'Alle ruter'!$Z$3:$Z$98,"H2",'Alle ruter'!$AJ$3:$AJ$98,"&lt;="&amp;H$17,'Alle ruter'!$AH$3:$AH$98,'Energi per fylke'!$A21)/1000000</f>
        <v>11.294635012833249</v>
      </c>
      <c r="I21" s="4">
        <f>SUMIFS('Alle ruter'!$AA$3:$AA$98,'Alle ruter'!$Z$3:$Z$98,"H2",'Alle ruter'!$AJ$3:$AJ$98,"&lt;="&amp;I$17,'Alle ruter'!$AH$3:$AH$98,'Energi per fylke'!$A21)/1000000</f>
        <v>11.294635012833249</v>
      </c>
      <c r="J21" s="4">
        <f>SUMIFS('Alle ruter'!$AA$3:$AA$98,'Alle ruter'!$Z$3:$Z$98,"H2",'Alle ruter'!$AJ$3:$AJ$98,"&lt;="&amp;J$17,'Alle ruter'!$AH$3:$AH$98,'Energi per fylke'!$A21)/1000000</f>
        <v>11.294635012833249</v>
      </c>
      <c r="K21" s="4">
        <f>SUMIFS('Alle ruter'!$AA$3:$AA$98,'Alle ruter'!$Z$3:$Z$98,"H2",'Alle ruter'!$AJ$3:$AJ$98,"&lt;="&amp;K$17,'Alle ruter'!$AH$3:$AH$98,'Energi per fylke'!$A21)/1000000</f>
        <v>11.294635012833249</v>
      </c>
      <c r="L21" s="4">
        <f>SUMIFS('Alle ruter'!$AA$3:$AA$98,'Alle ruter'!$Z$3:$Z$98,"H2",'Alle ruter'!$AJ$3:$AJ$98,"&lt;="&amp;L$17,'Alle ruter'!$AH$3:$AH$98,'Energi per fylke'!$A21)/1000000</f>
        <v>11.294635012833249</v>
      </c>
      <c r="M21" s="4">
        <f>SUMIFS('Alle ruter'!$AA$3:$AA$98,'Alle ruter'!$Z$3:$Z$98,"H2",'Alle ruter'!$AJ$3:$AJ$98,"&lt;="&amp;M$17,'Alle ruter'!$AH$3:$AH$98,'Energi per fylke'!$A21)/1000000</f>
        <v>11.294635012833249</v>
      </c>
      <c r="N21" s="4">
        <f>SUMIFS('Alle ruter'!$AA$3:$AA$98,'Alle ruter'!$Z$3:$Z$98,"H2",'Alle ruter'!$AJ$3:$AJ$98,"&lt;="&amp;N$17,'Alle ruter'!$AH$3:$AH$98,'Energi per fylke'!$A21)/1000000</f>
        <v>11.294635012833249</v>
      </c>
      <c r="O21" s="4">
        <f>SUMIFS('Alle ruter'!$AA$3:$AA$98,'Alle ruter'!$Z$3:$Z$98,"H2",'Alle ruter'!$AJ$3:$AJ$98,"&lt;="&amp;O$17,'Alle ruter'!$AH$3:$AH$98,'Energi per fylke'!$A21)/1000000</f>
        <v>11.294635012833249</v>
      </c>
      <c r="P21" s="4">
        <f>SUMIFS('Alle ruter'!$AA$3:$AA$98,'Alle ruter'!$Z$3:$Z$98,"H2",'Alle ruter'!$AJ$3:$AJ$98,"&lt;="&amp;P$17,'Alle ruter'!$AH$3:$AH$98,'Energi per fylke'!$A21)/1000000</f>
        <v>11.294635012833249</v>
      </c>
    </row>
    <row r="22" spans="1:16" x14ac:dyDescent="0.3">
      <c r="A22" t="s">
        <v>389</v>
      </c>
      <c r="B22" s="36">
        <v>0</v>
      </c>
      <c r="C22" s="4">
        <f>SUMIFS('Alle ruter'!$AA$3:$AA$98,'Alle ruter'!$Z$3:$Z$98,"H2",'Alle ruter'!$AJ$3:$AJ$98,"&lt;="&amp;C$17,'Alle ruter'!$AH$3:$AH$98,'Energi per fylke'!$A22)/1000000</f>
        <v>0</v>
      </c>
      <c r="D22" s="4">
        <f>SUMIFS('Alle ruter'!$AA$3:$AA$98,'Alle ruter'!$Z$3:$Z$98,"H2",'Alle ruter'!$AJ$3:$AJ$98,"&lt;="&amp;D$17,'Alle ruter'!$AH$3:$AH$98,'Energi per fylke'!$A22)/1000000</f>
        <v>0</v>
      </c>
      <c r="E22" s="4">
        <f>SUMIFS('Alle ruter'!$AA$3:$AA$98,'Alle ruter'!$Z$3:$Z$98,"H2",'Alle ruter'!$AJ$3:$AJ$98,"&lt;="&amp;E$17,'Alle ruter'!$AH$3:$AH$98,'Energi per fylke'!$A22)/1000000</f>
        <v>0</v>
      </c>
      <c r="F22" s="4">
        <f>SUMIFS('Alle ruter'!$AA$3:$AA$98,'Alle ruter'!$Z$3:$Z$98,"H2",'Alle ruter'!$AJ$3:$AJ$98,"&lt;="&amp;F$17,'Alle ruter'!$AH$3:$AH$98,'Energi per fylke'!$A22)/1000000</f>
        <v>7.6874990717043987</v>
      </c>
      <c r="G22" s="4">
        <f>SUMIFS('Alle ruter'!$AA$3:$AA$98,'Alle ruter'!$Z$3:$Z$98,"H2",'Alle ruter'!$AJ$3:$AJ$98,"&lt;="&amp;G$17,'Alle ruter'!$AH$3:$AH$98,'Energi per fylke'!$A22)/1000000</f>
        <v>7.6874990717043987</v>
      </c>
      <c r="H22" s="4">
        <f>SUMIFS('Alle ruter'!$AA$3:$AA$98,'Alle ruter'!$Z$3:$Z$98,"H2",'Alle ruter'!$AJ$3:$AJ$98,"&lt;="&amp;H$17,'Alle ruter'!$AH$3:$AH$98,'Energi per fylke'!$A22)/1000000</f>
        <v>7.6874990717043987</v>
      </c>
      <c r="I22" s="4">
        <f>SUMIFS('Alle ruter'!$AA$3:$AA$98,'Alle ruter'!$Z$3:$Z$98,"H2",'Alle ruter'!$AJ$3:$AJ$98,"&lt;="&amp;I$17,'Alle ruter'!$AH$3:$AH$98,'Energi per fylke'!$A22)/1000000</f>
        <v>7.6874990717043987</v>
      </c>
      <c r="J22" s="4">
        <f>SUMIFS('Alle ruter'!$AA$3:$AA$98,'Alle ruter'!$Z$3:$Z$98,"H2",'Alle ruter'!$AJ$3:$AJ$98,"&lt;="&amp;J$17,'Alle ruter'!$AH$3:$AH$98,'Energi per fylke'!$A22)/1000000</f>
        <v>9.3425095881207998</v>
      </c>
      <c r="K22" s="4">
        <f>SUMIFS('Alle ruter'!$AA$3:$AA$98,'Alle ruter'!$Z$3:$Z$98,"H2",'Alle ruter'!$AJ$3:$AJ$98,"&lt;="&amp;K$17,'Alle ruter'!$AH$3:$AH$98,'Energi per fylke'!$A22)/1000000</f>
        <v>10.25519921114455</v>
      </c>
      <c r="L22" s="4">
        <f>SUMIFS('Alle ruter'!$AA$3:$AA$98,'Alle ruter'!$Z$3:$Z$98,"H2",'Alle ruter'!$AJ$3:$AJ$98,"&lt;="&amp;L$17,'Alle ruter'!$AH$3:$AH$98,'Energi per fylke'!$A22)/1000000</f>
        <v>10.25519921114455</v>
      </c>
      <c r="M22" s="4">
        <f>SUMIFS('Alle ruter'!$AA$3:$AA$98,'Alle ruter'!$Z$3:$Z$98,"H2",'Alle ruter'!$AJ$3:$AJ$98,"&lt;="&amp;M$17,'Alle ruter'!$AH$3:$AH$98,'Energi per fylke'!$A22)/1000000</f>
        <v>10.25519921114455</v>
      </c>
      <c r="N22" s="4">
        <f>SUMIFS('Alle ruter'!$AA$3:$AA$98,'Alle ruter'!$Z$3:$Z$98,"H2",'Alle ruter'!$AJ$3:$AJ$98,"&lt;="&amp;N$17,'Alle ruter'!$AH$3:$AH$98,'Energi per fylke'!$A22)/1000000</f>
        <v>12.121142440437552</v>
      </c>
      <c r="O22" s="4">
        <f>SUMIFS('Alle ruter'!$AA$3:$AA$98,'Alle ruter'!$Z$3:$Z$98,"H2",'Alle ruter'!$AJ$3:$AJ$98,"&lt;="&amp;O$17,'Alle ruter'!$AH$3:$AH$98,'Energi per fylke'!$A22)/1000000</f>
        <v>12.121142440437552</v>
      </c>
      <c r="P22" s="4">
        <f>SUMIFS('Alle ruter'!$AA$3:$AA$98,'Alle ruter'!$Z$3:$Z$98,"H2",'Alle ruter'!$AJ$3:$AJ$98,"&lt;="&amp;P$17,'Alle ruter'!$AH$3:$AH$98,'Energi per fylke'!$A22)/1000000</f>
        <v>21.3902825565455</v>
      </c>
    </row>
    <row r="23" spans="1:16" x14ac:dyDescent="0.3">
      <c r="A23" t="s">
        <v>19</v>
      </c>
      <c r="B23" s="36">
        <v>0</v>
      </c>
      <c r="C23" s="4">
        <f>SUMIFS('Alle ruter'!$AA$3:$AA$98,'Alle ruter'!$Z$3:$Z$98,"H2",'Alle ruter'!$AJ$3:$AJ$98,"&lt;="&amp;C$17,'Alle ruter'!$AH$3:$AH$98,'Energi per fylke'!$A23)/1000000</f>
        <v>0</v>
      </c>
      <c r="D23" s="4">
        <f>SUMIFS('Alle ruter'!$AA$3:$AA$98,'Alle ruter'!$Z$3:$Z$98,"H2",'Alle ruter'!$AJ$3:$AJ$98,"&lt;="&amp;D$17,'Alle ruter'!$AH$3:$AH$98,'Energi per fylke'!$A23)/1000000</f>
        <v>22.025391909650995</v>
      </c>
      <c r="E23" s="4">
        <f>SUMIFS('Alle ruter'!$AA$3:$AA$98,'Alle ruter'!$Z$3:$Z$98,"H2",'Alle ruter'!$AJ$3:$AJ$98,"&lt;="&amp;E$17,'Alle ruter'!$AH$3:$AH$98,'Energi per fylke'!$A23)/1000000</f>
        <v>22.025391909650995</v>
      </c>
      <c r="F23" s="4">
        <f>SUMIFS('Alle ruter'!$AA$3:$AA$98,'Alle ruter'!$Z$3:$Z$98,"H2",'Alle ruter'!$AJ$3:$AJ$98,"&lt;="&amp;F$17,'Alle ruter'!$AH$3:$AH$98,'Energi per fylke'!$A23)/1000000</f>
        <v>22.025391909650995</v>
      </c>
      <c r="G23" s="4">
        <f>SUMIFS('Alle ruter'!$AA$3:$AA$98,'Alle ruter'!$Z$3:$Z$98,"H2",'Alle ruter'!$AJ$3:$AJ$98,"&lt;="&amp;G$17,'Alle ruter'!$AH$3:$AH$98,'Energi per fylke'!$A23)/1000000</f>
        <v>22.025391909650995</v>
      </c>
      <c r="H23" s="4">
        <f>SUMIFS('Alle ruter'!$AA$3:$AA$98,'Alle ruter'!$Z$3:$Z$98,"H2",'Alle ruter'!$AJ$3:$AJ$98,"&lt;="&amp;H$17,'Alle ruter'!$AH$3:$AH$98,'Energi per fylke'!$A23)/1000000</f>
        <v>22.025391909650995</v>
      </c>
      <c r="I23" s="4">
        <f>SUMIFS('Alle ruter'!$AA$3:$AA$98,'Alle ruter'!$Z$3:$Z$98,"H2",'Alle ruter'!$AJ$3:$AJ$98,"&lt;="&amp;I$17,'Alle ruter'!$AH$3:$AH$98,'Energi per fylke'!$A23)/1000000</f>
        <v>22.025391909650995</v>
      </c>
      <c r="J23" s="4">
        <f>SUMIFS('Alle ruter'!$AA$3:$AA$98,'Alle ruter'!$Z$3:$Z$98,"H2",'Alle ruter'!$AJ$3:$AJ$98,"&lt;="&amp;J$17,'Alle ruter'!$AH$3:$AH$98,'Energi per fylke'!$A23)/1000000</f>
        <v>22.025391909650995</v>
      </c>
      <c r="K23" s="4">
        <f>SUMIFS('Alle ruter'!$AA$3:$AA$98,'Alle ruter'!$Z$3:$Z$98,"H2",'Alle ruter'!$AJ$3:$AJ$98,"&lt;="&amp;K$17,'Alle ruter'!$AH$3:$AH$98,'Energi per fylke'!$A23)/1000000</f>
        <v>23.907560732242196</v>
      </c>
      <c r="L23" s="4">
        <f>SUMIFS('Alle ruter'!$AA$3:$AA$98,'Alle ruter'!$Z$3:$Z$98,"H2",'Alle ruter'!$AJ$3:$AJ$98,"&lt;="&amp;L$17,'Alle ruter'!$AH$3:$AH$98,'Energi per fylke'!$A23)/1000000</f>
        <v>23.907560732242196</v>
      </c>
      <c r="M23" s="4">
        <f>SUMIFS('Alle ruter'!$AA$3:$AA$98,'Alle ruter'!$Z$3:$Z$98,"H2",'Alle ruter'!$AJ$3:$AJ$98,"&lt;="&amp;M$17,'Alle ruter'!$AH$3:$AH$98,'Energi per fylke'!$A23)/1000000</f>
        <v>23.907560732242196</v>
      </c>
      <c r="N23" s="4">
        <f>SUMIFS('Alle ruter'!$AA$3:$AA$98,'Alle ruter'!$Z$3:$Z$98,"H2",'Alle ruter'!$AJ$3:$AJ$98,"&lt;="&amp;N$17,'Alle ruter'!$AH$3:$AH$98,'Energi per fylke'!$A23)/1000000</f>
        <v>23.907560732242196</v>
      </c>
      <c r="O23" s="4">
        <f>SUMIFS('Alle ruter'!$AA$3:$AA$98,'Alle ruter'!$Z$3:$Z$98,"H2",'Alle ruter'!$AJ$3:$AJ$98,"&lt;="&amp;O$17,'Alle ruter'!$AH$3:$AH$98,'Energi per fylke'!$A23)/1000000</f>
        <v>23.907560732242196</v>
      </c>
      <c r="P23" s="4">
        <f>SUMIFS('Alle ruter'!$AA$3:$AA$98,'Alle ruter'!$Z$3:$Z$98,"H2",'Alle ruter'!$AJ$3:$AJ$98,"&lt;="&amp;P$17,'Alle ruter'!$AH$3:$AH$98,'Energi per fylke'!$A23)/1000000</f>
        <v>23.907560732242196</v>
      </c>
    </row>
    <row r="24" spans="1:16" x14ac:dyDescent="0.3">
      <c r="A24" t="s">
        <v>8</v>
      </c>
      <c r="B24" s="36">
        <v>0</v>
      </c>
      <c r="C24" s="4">
        <f>SUMIFS('Alle ruter'!$AA$3:$AA$98,'Alle ruter'!$Z$3:$Z$98,"H2",'Alle ruter'!$AJ$3:$AJ$98,"&lt;="&amp;C$17,'Alle ruter'!$AH$3:$AH$98,'Energi per fylke'!$A24)/1000000</f>
        <v>0</v>
      </c>
      <c r="D24" s="4">
        <f>SUMIFS('Alle ruter'!$AA$3:$AA$98,'Alle ruter'!$Z$3:$Z$98,"H2",'Alle ruter'!$AJ$3:$AJ$98,"&lt;="&amp;D$17,'Alle ruter'!$AH$3:$AH$98,'Energi per fylke'!$A24)/1000000</f>
        <v>0</v>
      </c>
      <c r="E24" s="4">
        <f>SUMIFS('Alle ruter'!$AA$3:$AA$98,'Alle ruter'!$Z$3:$Z$98,"H2",'Alle ruter'!$AJ$3:$AJ$98,"&lt;="&amp;E$17,'Alle ruter'!$AH$3:$AH$98,'Energi per fylke'!$A24)/1000000</f>
        <v>0</v>
      </c>
      <c r="F24" s="4">
        <f>SUMIFS('Alle ruter'!$AA$3:$AA$98,'Alle ruter'!$Z$3:$Z$98,"H2",'Alle ruter'!$AJ$3:$AJ$98,"&lt;="&amp;F$17,'Alle ruter'!$AH$3:$AH$98,'Energi per fylke'!$A24)/1000000</f>
        <v>0</v>
      </c>
      <c r="G24" s="4">
        <f>SUMIFS('Alle ruter'!$AA$3:$AA$98,'Alle ruter'!$Z$3:$Z$98,"H2",'Alle ruter'!$AJ$3:$AJ$98,"&lt;="&amp;G$17,'Alle ruter'!$AH$3:$AH$98,'Energi per fylke'!$A24)/1000000</f>
        <v>6.4160025786999997</v>
      </c>
      <c r="H24" s="4">
        <f>SUMIFS('Alle ruter'!$AA$3:$AA$98,'Alle ruter'!$Z$3:$Z$98,"H2",'Alle ruter'!$AJ$3:$AJ$98,"&lt;="&amp;H$17,'Alle ruter'!$AH$3:$AH$98,'Energi per fylke'!$A24)/1000000</f>
        <v>6.4160025786999997</v>
      </c>
      <c r="I24" s="4">
        <f>SUMIFS('Alle ruter'!$AA$3:$AA$98,'Alle ruter'!$Z$3:$Z$98,"H2",'Alle ruter'!$AJ$3:$AJ$98,"&lt;="&amp;I$17,'Alle ruter'!$AH$3:$AH$98,'Energi per fylke'!$A24)/1000000</f>
        <v>6.4160025786999997</v>
      </c>
      <c r="J24" s="4">
        <f>SUMIFS('Alle ruter'!$AA$3:$AA$98,'Alle ruter'!$Z$3:$Z$98,"H2",'Alle ruter'!$AJ$3:$AJ$98,"&lt;="&amp;J$17,'Alle ruter'!$AH$3:$AH$98,'Energi per fylke'!$A24)/1000000</f>
        <v>6.4160025786999997</v>
      </c>
      <c r="K24" s="4">
        <f>SUMIFS('Alle ruter'!$AA$3:$AA$98,'Alle ruter'!$Z$3:$Z$98,"H2",'Alle ruter'!$AJ$3:$AJ$98,"&lt;="&amp;K$17,'Alle ruter'!$AH$3:$AH$98,'Energi per fylke'!$A24)/1000000</f>
        <v>6.4160025786999997</v>
      </c>
      <c r="L24" s="4">
        <f>SUMIFS('Alle ruter'!$AA$3:$AA$98,'Alle ruter'!$Z$3:$Z$98,"H2",'Alle ruter'!$AJ$3:$AJ$98,"&lt;="&amp;L$17,'Alle ruter'!$AH$3:$AH$98,'Energi per fylke'!$A24)/1000000</f>
        <v>6.4160025786999997</v>
      </c>
      <c r="M24" s="4">
        <f>SUMIFS('Alle ruter'!$AA$3:$AA$98,'Alle ruter'!$Z$3:$Z$98,"H2",'Alle ruter'!$AJ$3:$AJ$98,"&lt;="&amp;M$17,'Alle ruter'!$AH$3:$AH$98,'Energi per fylke'!$A24)/1000000</f>
        <v>6.4160025786999997</v>
      </c>
      <c r="N24" s="4">
        <f>SUMIFS('Alle ruter'!$AA$3:$AA$98,'Alle ruter'!$Z$3:$Z$98,"H2",'Alle ruter'!$AJ$3:$AJ$98,"&lt;="&amp;N$17,'Alle ruter'!$AH$3:$AH$98,'Energi per fylke'!$A24)/1000000</f>
        <v>6.4160025786999997</v>
      </c>
      <c r="O24" s="4">
        <f>SUMIFS('Alle ruter'!$AA$3:$AA$98,'Alle ruter'!$Z$3:$Z$98,"H2",'Alle ruter'!$AJ$3:$AJ$98,"&lt;="&amp;O$17,'Alle ruter'!$AH$3:$AH$98,'Energi per fylke'!$A24)/1000000</f>
        <v>6.4160025786999997</v>
      </c>
      <c r="P24" s="4">
        <f>SUMIFS('Alle ruter'!$AA$3:$AA$98,'Alle ruter'!$Z$3:$Z$98,"H2",'Alle ruter'!$AJ$3:$AJ$98,"&lt;="&amp;P$17,'Alle ruter'!$AH$3:$AH$98,'Energi per fylke'!$A24)/1000000</f>
        <v>6.4160025786999997</v>
      </c>
    </row>
    <row r="25" spans="1:16" x14ac:dyDescent="0.3">
      <c r="A25" t="s">
        <v>6</v>
      </c>
      <c r="B25" s="36">
        <v>0</v>
      </c>
      <c r="C25" s="4">
        <f>SUMIFS('Alle ruter'!$AA$3:$AA$98,'Alle ruter'!$Z$3:$Z$98,"H2",'Alle ruter'!$AJ$3:$AJ$98,"&lt;="&amp;C$17,'Alle ruter'!$AH$3:$AH$98,'Energi per fylke'!$A25)/1000000</f>
        <v>0</v>
      </c>
      <c r="D25" s="4">
        <f>SUMIFS('Alle ruter'!$AA$3:$AA$98,'Alle ruter'!$Z$3:$Z$98,"H2",'Alle ruter'!$AJ$3:$AJ$98,"&lt;="&amp;D$17,'Alle ruter'!$AH$3:$AH$98,'Energi per fylke'!$A25)/1000000</f>
        <v>0</v>
      </c>
      <c r="E25" s="4">
        <f>SUMIFS('Alle ruter'!$AA$3:$AA$98,'Alle ruter'!$Z$3:$Z$98,"H2",'Alle ruter'!$AJ$3:$AJ$98,"&lt;="&amp;E$17,'Alle ruter'!$AH$3:$AH$98,'Energi per fylke'!$A25)/1000000</f>
        <v>4.5545927856623996</v>
      </c>
      <c r="F25" s="4">
        <f>SUMIFS('Alle ruter'!$AA$3:$AA$98,'Alle ruter'!$Z$3:$Z$98,"H2",'Alle ruter'!$AJ$3:$AJ$98,"&lt;="&amp;F$17,'Alle ruter'!$AH$3:$AH$98,'Energi per fylke'!$A25)/1000000</f>
        <v>4.5545927856623996</v>
      </c>
      <c r="G25" s="4">
        <f>SUMIFS('Alle ruter'!$AA$3:$AA$98,'Alle ruter'!$Z$3:$Z$98,"H2",'Alle ruter'!$AJ$3:$AJ$98,"&lt;="&amp;G$17,'Alle ruter'!$AH$3:$AH$98,'Energi per fylke'!$A25)/1000000</f>
        <v>4.5545927856623996</v>
      </c>
      <c r="H25" s="4">
        <f>SUMIFS('Alle ruter'!$AA$3:$AA$98,'Alle ruter'!$Z$3:$Z$98,"H2",'Alle ruter'!$AJ$3:$AJ$98,"&lt;="&amp;H$17,'Alle ruter'!$AH$3:$AH$98,'Energi per fylke'!$A25)/1000000</f>
        <v>4.5545927856623996</v>
      </c>
      <c r="I25" s="4">
        <f>SUMIFS('Alle ruter'!$AA$3:$AA$98,'Alle ruter'!$Z$3:$Z$98,"H2",'Alle ruter'!$AJ$3:$AJ$98,"&lt;="&amp;I$17,'Alle ruter'!$AH$3:$AH$98,'Energi per fylke'!$A25)/1000000</f>
        <v>4.5545927856623996</v>
      </c>
      <c r="J25" s="4">
        <f>SUMIFS('Alle ruter'!$AA$3:$AA$98,'Alle ruter'!$Z$3:$Z$98,"H2",'Alle ruter'!$AJ$3:$AJ$98,"&lt;="&amp;J$17,'Alle ruter'!$AH$3:$AH$98,'Energi per fylke'!$A25)/1000000</f>
        <v>4.5545927856623996</v>
      </c>
      <c r="K25" s="4">
        <f>SUMIFS('Alle ruter'!$AA$3:$AA$98,'Alle ruter'!$Z$3:$Z$98,"H2",'Alle ruter'!$AJ$3:$AJ$98,"&lt;="&amp;K$17,'Alle ruter'!$AH$3:$AH$98,'Energi per fylke'!$A25)/1000000</f>
        <v>4.5545927856623996</v>
      </c>
      <c r="L25" s="4">
        <f>SUMIFS('Alle ruter'!$AA$3:$AA$98,'Alle ruter'!$Z$3:$Z$98,"H2",'Alle ruter'!$AJ$3:$AJ$98,"&lt;="&amp;L$17,'Alle ruter'!$AH$3:$AH$98,'Energi per fylke'!$A25)/1000000</f>
        <v>4.5545927856623996</v>
      </c>
      <c r="M25" s="4">
        <f>SUMIFS('Alle ruter'!$AA$3:$AA$98,'Alle ruter'!$Z$3:$Z$98,"H2",'Alle ruter'!$AJ$3:$AJ$98,"&lt;="&amp;M$17,'Alle ruter'!$AH$3:$AH$98,'Energi per fylke'!$A25)/1000000</f>
        <v>4.5545927856623996</v>
      </c>
      <c r="N25" s="4">
        <f>SUMIFS('Alle ruter'!$AA$3:$AA$98,'Alle ruter'!$Z$3:$Z$98,"H2",'Alle ruter'!$AJ$3:$AJ$98,"&lt;="&amp;N$17,'Alle ruter'!$AH$3:$AH$98,'Energi per fylke'!$A25)/1000000</f>
        <v>4.5545927856623996</v>
      </c>
      <c r="O25" s="4">
        <f>SUMIFS('Alle ruter'!$AA$3:$AA$98,'Alle ruter'!$Z$3:$Z$98,"H2",'Alle ruter'!$AJ$3:$AJ$98,"&lt;="&amp;O$17,'Alle ruter'!$AH$3:$AH$98,'Energi per fylke'!$A25)/1000000</f>
        <v>4.5545927856623996</v>
      </c>
      <c r="P25" s="4">
        <f>SUMIFS('Alle ruter'!$AA$3:$AA$98,'Alle ruter'!$Z$3:$Z$98,"H2",'Alle ruter'!$AJ$3:$AJ$98,"&lt;="&amp;P$17,'Alle ruter'!$AH$3:$AH$98,'Energi per fylke'!$A25)/1000000</f>
        <v>4.5545927856623996</v>
      </c>
    </row>
    <row r="26" spans="1:16" x14ac:dyDescent="0.3">
      <c r="A26" t="s">
        <v>390</v>
      </c>
      <c r="B26" s="36">
        <v>0</v>
      </c>
      <c r="C26" s="4">
        <f>SUMIFS('Alle ruter'!$AA$3:$AA$98,'Alle ruter'!$Z$3:$Z$98,"H2",'Alle ruter'!$AJ$3:$AJ$98,"&lt;="&amp;C$17,'Alle ruter'!$AH$3:$AH$98,'Energi per fylke'!$A26)/1000000</f>
        <v>0</v>
      </c>
      <c r="D26" s="4">
        <f>SUMIFS('Alle ruter'!$AA$3:$AA$98,'Alle ruter'!$Z$3:$Z$98,"H2",'Alle ruter'!$AJ$3:$AJ$98,"&lt;="&amp;D$17,'Alle ruter'!$AH$3:$AH$98,'Energi per fylke'!$A26)/1000000</f>
        <v>0</v>
      </c>
      <c r="E26" s="4">
        <f>SUMIFS('Alle ruter'!$AA$3:$AA$98,'Alle ruter'!$Z$3:$Z$98,"H2",'Alle ruter'!$AJ$3:$AJ$98,"&lt;="&amp;E$17,'Alle ruter'!$AH$3:$AH$98,'Energi per fylke'!$A26)/1000000</f>
        <v>0</v>
      </c>
      <c r="F26" s="4">
        <f>SUMIFS('Alle ruter'!$AA$3:$AA$98,'Alle ruter'!$Z$3:$Z$98,"H2",'Alle ruter'!$AJ$3:$AJ$98,"&lt;="&amp;F$17,'Alle ruter'!$AH$3:$AH$98,'Energi per fylke'!$A26)/1000000</f>
        <v>0</v>
      </c>
      <c r="G26" s="4">
        <f>SUMIFS('Alle ruter'!$AA$3:$AA$98,'Alle ruter'!$Z$3:$Z$98,"H2",'Alle ruter'!$AJ$3:$AJ$98,"&lt;="&amp;G$17,'Alle ruter'!$AH$3:$AH$98,'Energi per fylke'!$A26)/1000000</f>
        <v>0</v>
      </c>
      <c r="H26" s="4">
        <f>SUMIFS('Alle ruter'!$AA$3:$AA$98,'Alle ruter'!$Z$3:$Z$98,"H2",'Alle ruter'!$AJ$3:$AJ$98,"&lt;="&amp;H$17,'Alle ruter'!$AH$3:$AH$98,'Energi per fylke'!$A26)/1000000</f>
        <v>0</v>
      </c>
      <c r="I26" s="4">
        <f>SUMIFS('Alle ruter'!$AA$3:$AA$98,'Alle ruter'!$Z$3:$Z$98,"H2",'Alle ruter'!$AJ$3:$AJ$98,"&lt;="&amp;I$17,'Alle ruter'!$AH$3:$AH$98,'Energi per fylke'!$A26)/1000000</f>
        <v>0</v>
      </c>
      <c r="J26" s="4">
        <f>SUMIFS('Alle ruter'!$AA$3:$AA$98,'Alle ruter'!$Z$3:$Z$98,"H2",'Alle ruter'!$AJ$3:$AJ$98,"&lt;="&amp;J$17,'Alle ruter'!$AH$3:$AH$98,'Energi per fylke'!$A26)/1000000</f>
        <v>0</v>
      </c>
      <c r="K26" s="4">
        <f>SUMIFS('Alle ruter'!$AA$3:$AA$98,'Alle ruter'!$Z$3:$Z$98,"H2",'Alle ruter'!$AJ$3:$AJ$98,"&lt;="&amp;K$17,'Alle ruter'!$AH$3:$AH$98,'Energi per fylke'!$A26)/1000000</f>
        <v>0</v>
      </c>
      <c r="L26" s="4">
        <f>SUMIFS('Alle ruter'!$AA$3:$AA$98,'Alle ruter'!$Z$3:$Z$98,"H2",'Alle ruter'!$AJ$3:$AJ$98,"&lt;="&amp;L$17,'Alle ruter'!$AH$3:$AH$98,'Energi per fylke'!$A26)/1000000</f>
        <v>0</v>
      </c>
      <c r="M26" s="4">
        <f>SUMIFS('Alle ruter'!$AA$3:$AA$98,'Alle ruter'!$Z$3:$Z$98,"H2",'Alle ruter'!$AJ$3:$AJ$98,"&lt;="&amp;M$17,'Alle ruter'!$AH$3:$AH$98,'Energi per fylke'!$A26)/1000000</f>
        <v>0</v>
      </c>
      <c r="N26" s="4">
        <f>SUMIFS('Alle ruter'!$AA$3:$AA$98,'Alle ruter'!$Z$3:$Z$98,"H2",'Alle ruter'!$AJ$3:$AJ$98,"&lt;="&amp;N$17,'Alle ruter'!$AH$3:$AH$98,'Energi per fylke'!$A26)/1000000</f>
        <v>0</v>
      </c>
      <c r="O26" s="4">
        <f>SUMIFS('Alle ruter'!$AA$3:$AA$98,'Alle ruter'!$Z$3:$Z$98,"H2",'Alle ruter'!$AJ$3:$AJ$98,"&lt;="&amp;O$17,'Alle ruter'!$AH$3:$AH$98,'Energi per fylke'!$A26)/1000000</f>
        <v>0</v>
      </c>
      <c r="P26" s="4">
        <f>SUMIFS('Alle ruter'!$AA$3:$AA$98,'Alle ruter'!$Z$3:$Z$98,"H2",'Alle ruter'!$AJ$3:$AJ$98,"&lt;="&amp;P$17,'Alle ruter'!$AH$3:$AH$98,'Energi per fylke'!$A26)/1000000</f>
        <v>0</v>
      </c>
    </row>
    <row r="27" spans="1:16" x14ac:dyDescent="0.3">
      <c r="A27" t="s">
        <v>420</v>
      </c>
      <c r="B27" s="3">
        <f t="shared" ref="B27:J27" si="3">SUM(B19:B26)</f>
        <v>0</v>
      </c>
      <c r="C27" s="3">
        <f t="shared" si="3"/>
        <v>33.388807523208143</v>
      </c>
      <c r="D27" s="3">
        <f t="shared" si="3"/>
        <v>56.638875014483446</v>
      </c>
      <c r="E27" s="3">
        <f t="shared" si="3"/>
        <v>93.252215332732277</v>
      </c>
      <c r="F27" s="3">
        <f t="shared" si="3"/>
        <v>100.93971440443667</v>
      </c>
      <c r="G27" s="3">
        <f t="shared" si="3"/>
        <v>108.36711229872448</v>
      </c>
      <c r="H27" s="3">
        <f t="shared" si="3"/>
        <v>140.56963902658882</v>
      </c>
      <c r="I27" s="3">
        <f t="shared" si="3"/>
        <v>140.56963902658882</v>
      </c>
      <c r="J27" s="3">
        <f t="shared" si="3"/>
        <v>142.22464954300523</v>
      </c>
      <c r="K27" s="3">
        <f>SUM(K19:K26)</f>
        <v>145.01950798862015</v>
      </c>
      <c r="L27" s="3">
        <f t="shared" ref="L27:P27" si="4">SUM(L19:L26)</f>
        <v>145.01950798862015</v>
      </c>
      <c r="M27" s="3">
        <f t="shared" si="4"/>
        <v>145.01950798862015</v>
      </c>
      <c r="N27" s="3">
        <f t="shared" si="4"/>
        <v>146.88545121791316</v>
      </c>
      <c r="O27" s="3">
        <f t="shared" si="4"/>
        <v>146.88545121791316</v>
      </c>
      <c r="P27" s="3">
        <f t="shared" si="4"/>
        <v>156.15459133402112</v>
      </c>
    </row>
    <row r="31" spans="1:16" x14ac:dyDescent="0.3">
      <c r="C31" s="45" t="s">
        <v>416</v>
      </c>
      <c r="D31" s="45"/>
      <c r="E31" s="45"/>
      <c r="F31" s="45"/>
      <c r="G31" s="45"/>
      <c r="H31" s="45"/>
      <c r="I31" s="45"/>
      <c r="J31" s="45"/>
      <c r="K31" s="45"/>
    </row>
    <row r="32" spans="1:16" x14ac:dyDescent="0.3">
      <c r="C32" s="35">
        <v>44926</v>
      </c>
      <c r="D32" s="35">
        <v>45291</v>
      </c>
      <c r="E32" s="35">
        <v>45657</v>
      </c>
      <c r="F32" s="35">
        <v>46022</v>
      </c>
      <c r="G32" s="35">
        <v>46387</v>
      </c>
      <c r="H32" s="35">
        <v>46752</v>
      </c>
      <c r="I32" s="35">
        <v>47118</v>
      </c>
      <c r="J32" s="35">
        <v>47483</v>
      </c>
      <c r="K32" s="35">
        <v>47848</v>
      </c>
      <c r="L32" s="35">
        <v>48213</v>
      </c>
      <c r="M32" s="35">
        <v>48579</v>
      </c>
      <c r="N32" s="35">
        <v>48944</v>
      </c>
      <c r="O32" s="35">
        <v>49309</v>
      </c>
      <c r="P32" s="35">
        <v>49674</v>
      </c>
    </row>
    <row r="33" spans="1:16" x14ac:dyDescent="0.3">
      <c r="A33" s="24" t="s">
        <v>2</v>
      </c>
      <c r="B33" s="37">
        <v>2021</v>
      </c>
      <c r="C33" s="24">
        <f>YEAR(C32)</f>
        <v>2022</v>
      </c>
      <c r="D33" s="24">
        <f t="shared" ref="D33:P33" si="5">YEAR(D32)</f>
        <v>2023</v>
      </c>
      <c r="E33" s="24">
        <f t="shared" si="5"/>
        <v>2024</v>
      </c>
      <c r="F33" s="24">
        <f t="shared" si="5"/>
        <v>2025</v>
      </c>
      <c r="G33" s="24">
        <f t="shared" si="5"/>
        <v>2026</v>
      </c>
      <c r="H33" s="24">
        <f t="shared" si="5"/>
        <v>2027</v>
      </c>
      <c r="I33" s="24">
        <f t="shared" si="5"/>
        <v>2028</v>
      </c>
      <c r="J33" s="24">
        <f t="shared" si="5"/>
        <v>2029</v>
      </c>
      <c r="K33" s="24">
        <f t="shared" si="5"/>
        <v>2030</v>
      </c>
      <c r="L33" s="24">
        <f t="shared" si="5"/>
        <v>2031</v>
      </c>
      <c r="M33" s="24">
        <f t="shared" si="5"/>
        <v>2032</v>
      </c>
      <c r="N33" s="24">
        <f t="shared" si="5"/>
        <v>2033</v>
      </c>
      <c r="O33" s="24">
        <f t="shared" si="5"/>
        <v>2034</v>
      </c>
      <c r="P33" s="24">
        <f t="shared" si="5"/>
        <v>2035</v>
      </c>
    </row>
    <row r="34" spans="1:16" x14ac:dyDescent="0.3">
      <c r="A34" t="s">
        <v>388</v>
      </c>
      <c r="B34" s="36">
        <v>0</v>
      </c>
      <c r="C34" s="4">
        <f>SUMIFS('Alle ruter'!$AA$3:$AA$98,'Alle ruter'!$Z$3:$Z$98,"Batteri",'Alle ruter'!$AJ$3:$AJ$98,"&lt;="&amp;C$32,'Alle ruter'!$AH$3:$AH$98,'Energi per fylke'!$A34)/1000000</f>
        <v>2.8559430321493502</v>
      </c>
      <c r="D34" s="4">
        <f>SUMIFS('Alle ruter'!$AA$3:$AA$98,'Alle ruter'!$Z$3:$Z$98,"Batteri",'Alle ruter'!$AJ$3:$AJ$98,"&lt;="&amp;D$32,'Alle ruter'!$AH$3:$AH$98,'Energi per fylke'!$A34)/1000000</f>
        <v>2.8559430321493502</v>
      </c>
      <c r="E34" s="4">
        <f>SUMIFS('Alle ruter'!$AA$3:$AA$98,'Alle ruter'!$Z$3:$Z$98,"Batteri",'Alle ruter'!$AJ$3:$AJ$98,"&lt;="&amp;E$32,'Alle ruter'!$AH$3:$AH$98,'Energi per fylke'!$A34)/1000000</f>
        <v>9.8773395611546508</v>
      </c>
      <c r="F34" s="4">
        <f>SUMIFS('Alle ruter'!$AA$3:$AA$98,'Alle ruter'!$Z$3:$Z$98,"Batteri",'Alle ruter'!$AJ$3:$AJ$98,"&lt;="&amp;F$32,'Alle ruter'!$AH$3:$AH$98,'Energi per fylke'!$A34)/1000000</f>
        <v>9.8773395611546508</v>
      </c>
      <c r="G34" s="4">
        <f>SUMIFS('Alle ruter'!$AA$3:$AA$98,'Alle ruter'!$Z$3:$Z$98,"Batteri",'Alle ruter'!$AJ$3:$AJ$98,"&lt;="&amp;G$32,'Alle ruter'!$AH$3:$AH$98,'Energi per fylke'!$A34)/1000000</f>
        <v>9.8773395611546508</v>
      </c>
      <c r="H34" s="4">
        <f>SUMIFS('Alle ruter'!$AA$3:$AA$98,'Alle ruter'!$Z$3:$Z$98,"Batteri",'Alle ruter'!$AJ$3:$AJ$98,"&lt;="&amp;H$32,'Alle ruter'!$AH$3:$AH$98,'Energi per fylke'!$A34)/1000000</f>
        <v>10.507778095530302</v>
      </c>
      <c r="I34" s="4">
        <f>SUMIFS('Alle ruter'!$AA$3:$AA$98,'Alle ruter'!$Z$3:$Z$98,"Batteri",'Alle ruter'!$AJ$3:$AJ$98,"&lt;="&amp;I$32,'Alle ruter'!$AH$3:$AH$98,'Energi per fylke'!$A34)/1000000</f>
        <v>10.507778095530302</v>
      </c>
      <c r="J34" s="4">
        <f>SUMIFS('Alle ruter'!$AA$3:$AA$98,'Alle ruter'!$Z$3:$Z$98,"Batteri",'Alle ruter'!$AJ$3:$AJ$98,"&lt;="&amp;J$32,'Alle ruter'!$AH$3:$AH$98,'Energi per fylke'!$A34)/1000000</f>
        <v>10.507778095530302</v>
      </c>
      <c r="K34" s="4">
        <f>SUMIFS('Alle ruter'!$AA$3:$AA$98,'Alle ruter'!$Z$3:$Z$98,"Batteri",'Alle ruter'!$AJ$3:$AJ$98,"&lt;="&amp;K$32,'Alle ruter'!$AH$3:$AH$98,'Energi per fylke'!$A34)/1000000</f>
        <v>10.507778095530302</v>
      </c>
      <c r="L34" s="4">
        <f>SUMIFS('Alle ruter'!$AA$3:$AA$98,'Alle ruter'!$Z$3:$Z$98,"Batteri",'Alle ruter'!$AJ$3:$AJ$98,"&lt;="&amp;L$32,'Alle ruter'!$AH$3:$AH$98,'Energi per fylke'!$A34)/1000000</f>
        <v>10.507778095530302</v>
      </c>
      <c r="M34" s="4">
        <f>SUMIFS('Alle ruter'!$AA$3:$AA$98,'Alle ruter'!$Z$3:$Z$98,"Batteri",'Alle ruter'!$AJ$3:$AJ$98,"&lt;="&amp;M$32,'Alle ruter'!$AH$3:$AH$98,'Energi per fylke'!$A34)/1000000</f>
        <v>10.507778095530302</v>
      </c>
      <c r="N34" s="4">
        <f>SUMIFS('Alle ruter'!$AA$3:$AA$98,'Alle ruter'!$Z$3:$Z$98,"Batteri",'Alle ruter'!$AJ$3:$AJ$98,"&lt;="&amp;N$32,'Alle ruter'!$AH$3:$AH$98,'Energi per fylke'!$A34)/1000000</f>
        <v>10.507778095530302</v>
      </c>
      <c r="O34" s="4">
        <f>SUMIFS('Alle ruter'!$AA$3:$AA$98,'Alle ruter'!$Z$3:$Z$98,"Batteri",'Alle ruter'!$AJ$3:$AJ$98,"&lt;="&amp;O$32,'Alle ruter'!$AH$3:$AH$98,'Energi per fylke'!$A34)/1000000</f>
        <v>10.507778095530302</v>
      </c>
      <c r="P34" s="4">
        <f>SUMIFS('Alle ruter'!$AA$3:$AA$98,'Alle ruter'!$Z$3:$Z$98,"Batteri",'Alle ruter'!$AJ$3:$AJ$98,"&lt;="&amp;P$32,'Alle ruter'!$AH$3:$AH$98,'Energi per fylke'!$A34)/1000000</f>
        <v>10.507778095530302</v>
      </c>
    </row>
    <row r="35" spans="1:16" x14ac:dyDescent="0.3">
      <c r="A35" t="s">
        <v>15</v>
      </c>
      <c r="B35" s="36">
        <v>0</v>
      </c>
      <c r="C35" s="4">
        <f>SUMIFS('Alle ruter'!$AA$3:$AA$98,'Alle ruter'!$Z$3:$Z$98,"Batteri",'Alle ruter'!$AJ$3:$AJ$98,"&lt;="&amp;C$32,'Alle ruter'!$AH$3:$AH$98,'Energi per fylke'!$A35)/1000000</f>
        <v>6.2585285199163998</v>
      </c>
      <c r="D35" s="4">
        <f>SUMIFS('Alle ruter'!$AA$3:$AA$98,'Alle ruter'!$Z$3:$Z$98,"Batteri",'Alle ruter'!$AJ$3:$AJ$98,"&lt;="&amp;D$32,'Alle ruter'!$AH$3:$AH$98,'Energi per fylke'!$A35)/1000000</f>
        <v>6.2585285199163998</v>
      </c>
      <c r="E35" s="4">
        <f>SUMIFS('Alle ruter'!$AA$3:$AA$98,'Alle ruter'!$Z$3:$Z$98,"Batteri",'Alle ruter'!$AJ$3:$AJ$98,"&lt;="&amp;E$32,'Alle ruter'!$AH$3:$AH$98,'Energi per fylke'!$A35)/1000000</f>
        <v>6.2585285199163998</v>
      </c>
      <c r="F35" s="4">
        <f>SUMIFS('Alle ruter'!$AA$3:$AA$98,'Alle ruter'!$Z$3:$Z$98,"Batteri",'Alle ruter'!$AJ$3:$AJ$98,"&lt;="&amp;F$32,'Alle ruter'!$AH$3:$AH$98,'Energi per fylke'!$A35)/1000000</f>
        <v>6.2585285199163998</v>
      </c>
      <c r="G35" s="4">
        <f>SUMIFS('Alle ruter'!$AA$3:$AA$98,'Alle ruter'!$Z$3:$Z$98,"Batteri",'Alle ruter'!$AJ$3:$AJ$98,"&lt;="&amp;G$32,'Alle ruter'!$AH$3:$AH$98,'Energi per fylke'!$A35)/1000000</f>
        <v>6.2585285199163998</v>
      </c>
      <c r="H35" s="4">
        <f>SUMIFS('Alle ruter'!$AA$3:$AA$98,'Alle ruter'!$Z$3:$Z$98,"Batteri",'Alle ruter'!$AJ$3:$AJ$98,"&lt;="&amp;H$32,'Alle ruter'!$AH$3:$AH$98,'Energi per fylke'!$A35)/1000000</f>
        <v>6.2585285199163998</v>
      </c>
      <c r="I35" s="4">
        <f>SUMIFS('Alle ruter'!$AA$3:$AA$98,'Alle ruter'!$Z$3:$Z$98,"Batteri",'Alle ruter'!$AJ$3:$AJ$98,"&lt;="&amp;I$32,'Alle ruter'!$AH$3:$AH$98,'Energi per fylke'!$A35)/1000000</f>
        <v>6.2585285199163998</v>
      </c>
      <c r="J35" s="4">
        <f>SUMIFS('Alle ruter'!$AA$3:$AA$98,'Alle ruter'!$Z$3:$Z$98,"Batteri",'Alle ruter'!$AJ$3:$AJ$98,"&lt;="&amp;J$32,'Alle ruter'!$AH$3:$AH$98,'Energi per fylke'!$A35)/1000000</f>
        <v>6.2585285199163998</v>
      </c>
      <c r="K35" s="4">
        <f>SUMIFS('Alle ruter'!$AA$3:$AA$98,'Alle ruter'!$Z$3:$Z$98,"Batteri",'Alle ruter'!$AJ$3:$AJ$98,"&lt;="&amp;K$32,'Alle ruter'!$AH$3:$AH$98,'Energi per fylke'!$A35)/1000000</f>
        <v>6.2585285199163998</v>
      </c>
      <c r="L35" s="4">
        <f>SUMIFS('Alle ruter'!$AA$3:$AA$98,'Alle ruter'!$Z$3:$Z$98,"Batteri",'Alle ruter'!$AJ$3:$AJ$98,"&lt;="&amp;L$32,'Alle ruter'!$AH$3:$AH$98,'Energi per fylke'!$A35)/1000000</f>
        <v>6.2585285199163998</v>
      </c>
      <c r="M35" s="4">
        <f>SUMIFS('Alle ruter'!$AA$3:$AA$98,'Alle ruter'!$Z$3:$Z$98,"Batteri",'Alle ruter'!$AJ$3:$AJ$98,"&lt;="&amp;M$32,'Alle ruter'!$AH$3:$AH$98,'Energi per fylke'!$A35)/1000000</f>
        <v>6.2585285199163998</v>
      </c>
      <c r="N35" s="4">
        <f>SUMIFS('Alle ruter'!$AA$3:$AA$98,'Alle ruter'!$Z$3:$Z$98,"Batteri",'Alle ruter'!$AJ$3:$AJ$98,"&lt;="&amp;N$32,'Alle ruter'!$AH$3:$AH$98,'Energi per fylke'!$A35)/1000000</f>
        <v>6.2585285199163998</v>
      </c>
      <c r="O35" s="4">
        <f>SUMIFS('Alle ruter'!$AA$3:$AA$98,'Alle ruter'!$Z$3:$Z$98,"Batteri",'Alle ruter'!$AJ$3:$AJ$98,"&lt;="&amp;O$32,'Alle ruter'!$AH$3:$AH$98,'Energi per fylke'!$A35)/1000000</f>
        <v>6.2585285199163998</v>
      </c>
      <c r="P35" s="4">
        <f>SUMIFS('Alle ruter'!$AA$3:$AA$98,'Alle ruter'!$Z$3:$Z$98,"Batteri",'Alle ruter'!$AJ$3:$AJ$98,"&lt;="&amp;P$32,'Alle ruter'!$AH$3:$AH$98,'Energi per fylke'!$A35)/1000000</f>
        <v>6.2585285199163998</v>
      </c>
    </row>
    <row r="36" spans="1:16" x14ac:dyDescent="0.3">
      <c r="A36" t="s">
        <v>11</v>
      </c>
      <c r="B36" s="36">
        <v>0</v>
      </c>
      <c r="C36" s="4">
        <f>SUMIFS('Alle ruter'!$AA$3:$AA$98,'Alle ruter'!$Z$3:$Z$98,"Batteri",'Alle ruter'!$AJ$3:$AJ$98,"&lt;="&amp;C$32,'Alle ruter'!$AH$3:$AH$98,'Energi per fylke'!$A36)/1000000</f>
        <v>0</v>
      </c>
      <c r="D36" s="4">
        <f>SUMIFS('Alle ruter'!$AA$3:$AA$98,'Alle ruter'!$Z$3:$Z$98,"Batteri",'Alle ruter'!$AJ$3:$AJ$98,"&lt;="&amp;D$32,'Alle ruter'!$AH$3:$AH$98,'Energi per fylke'!$A36)/1000000</f>
        <v>0.81127966490999992</v>
      </c>
      <c r="E36" s="4">
        <f>SUMIFS('Alle ruter'!$AA$3:$AA$98,'Alle ruter'!$Z$3:$Z$98,"Batteri",'Alle ruter'!$AJ$3:$AJ$98,"&lt;="&amp;E$32,'Alle ruter'!$AH$3:$AH$98,'Energi per fylke'!$A36)/1000000</f>
        <v>7.2852913908917989</v>
      </c>
      <c r="F36" s="4">
        <f>SUMIFS('Alle ruter'!$AA$3:$AA$98,'Alle ruter'!$Z$3:$Z$98,"Batteri",'Alle ruter'!$AJ$3:$AJ$98,"&lt;="&amp;F$32,'Alle ruter'!$AH$3:$AH$98,'Energi per fylke'!$A36)/1000000</f>
        <v>7.2852913908917989</v>
      </c>
      <c r="G36" s="4">
        <f>SUMIFS('Alle ruter'!$AA$3:$AA$98,'Alle ruter'!$Z$3:$Z$98,"Batteri",'Alle ruter'!$AJ$3:$AJ$98,"&lt;="&amp;G$32,'Alle ruter'!$AH$3:$AH$98,'Energi per fylke'!$A36)/1000000</f>
        <v>7.2852913908917989</v>
      </c>
      <c r="H36" s="4">
        <f>SUMIFS('Alle ruter'!$AA$3:$AA$98,'Alle ruter'!$Z$3:$Z$98,"Batteri",'Alle ruter'!$AJ$3:$AJ$98,"&lt;="&amp;H$32,'Alle ruter'!$AH$3:$AH$98,'Energi per fylke'!$A36)/1000000</f>
        <v>7.2852913908917989</v>
      </c>
      <c r="I36" s="4">
        <f>SUMIFS('Alle ruter'!$AA$3:$AA$98,'Alle ruter'!$Z$3:$Z$98,"Batteri",'Alle ruter'!$AJ$3:$AJ$98,"&lt;="&amp;I$32,'Alle ruter'!$AH$3:$AH$98,'Energi per fylke'!$A36)/1000000</f>
        <v>7.2852913908917989</v>
      </c>
      <c r="J36" s="4">
        <f>SUMIFS('Alle ruter'!$AA$3:$AA$98,'Alle ruter'!$Z$3:$Z$98,"Batteri",'Alle ruter'!$AJ$3:$AJ$98,"&lt;="&amp;J$32,'Alle ruter'!$AH$3:$AH$98,'Energi per fylke'!$A36)/1000000</f>
        <v>7.2852913908917989</v>
      </c>
      <c r="K36" s="4">
        <f>SUMIFS('Alle ruter'!$AA$3:$AA$98,'Alle ruter'!$Z$3:$Z$98,"Batteri",'Alle ruter'!$AJ$3:$AJ$98,"&lt;="&amp;K$32,'Alle ruter'!$AH$3:$AH$98,'Energi per fylke'!$A36)/1000000</f>
        <v>7.2852913908917989</v>
      </c>
      <c r="L36" s="4">
        <f>SUMIFS('Alle ruter'!$AA$3:$AA$98,'Alle ruter'!$Z$3:$Z$98,"Batteri",'Alle ruter'!$AJ$3:$AJ$98,"&lt;="&amp;L$32,'Alle ruter'!$AH$3:$AH$98,'Energi per fylke'!$A36)/1000000</f>
        <v>10.032825189386998</v>
      </c>
      <c r="M36" s="4">
        <f>SUMIFS('Alle ruter'!$AA$3:$AA$98,'Alle ruter'!$Z$3:$Z$98,"Batteri",'Alle ruter'!$AJ$3:$AJ$98,"&lt;="&amp;M$32,'Alle ruter'!$AH$3:$AH$98,'Energi per fylke'!$A36)/1000000</f>
        <v>10.032825189386998</v>
      </c>
      <c r="N36" s="4">
        <f>SUMIFS('Alle ruter'!$AA$3:$AA$98,'Alle ruter'!$Z$3:$Z$98,"Batteri",'Alle ruter'!$AJ$3:$AJ$98,"&lt;="&amp;N$32,'Alle ruter'!$AH$3:$AH$98,'Energi per fylke'!$A36)/1000000</f>
        <v>10.032825189386998</v>
      </c>
      <c r="O36" s="4">
        <f>SUMIFS('Alle ruter'!$AA$3:$AA$98,'Alle ruter'!$Z$3:$Z$98,"Batteri",'Alle ruter'!$AJ$3:$AJ$98,"&lt;="&amp;O$32,'Alle ruter'!$AH$3:$AH$98,'Energi per fylke'!$A36)/1000000</f>
        <v>10.032825189386998</v>
      </c>
      <c r="P36" s="4">
        <f>SUMIFS('Alle ruter'!$AA$3:$AA$98,'Alle ruter'!$Z$3:$Z$98,"Batteri",'Alle ruter'!$AJ$3:$AJ$98,"&lt;="&amp;P$32,'Alle ruter'!$AH$3:$AH$98,'Energi per fylke'!$A36)/1000000</f>
        <v>10.032825189386998</v>
      </c>
    </row>
    <row r="37" spans="1:16" x14ac:dyDescent="0.3">
      <c r="A37" t="s">
        <v>389</v>
      </c>
      <c r="B37" s="36">
        <v>0</v>
      </c>
      <c r="C37" s="4">
        <f>SUMIFS('Alle ruter'!$AA$3:$AA$98,'Alle ruter'!$Z$3:$Z$98,"Batteri",'Alle ruter'!$AJ$3:$AJ$98,"&lt;="&amp;C$32,'Alle ruter'!$AH$3:$AH$98,'Energi per fylke'!$A37)/1000000</f>
        <v>0</v>
      </c>
      <c r="D37" s="4">
        <f>SUMIFS('Alle ruter'!$AA$3:$AA$98,'Alle ruter'!$Z$3:$Z$98,"Batteri",'Alle ruter'!$AJ$3:$AJ$98,"&lt;="&amp;D$32,'Alle ruter'!$AH$3:$AH$98,'Energi per fylke'!$A37)/1000000</f>
        <v>0</v>
      </c>
      <c r="E37" s="4">
        <f>SUMIFS('Alle ruter'!$AA$3:$AA$98,'Alle ruter'!$Z$3:$Z$98,"Batteri",'Alle ruter'!$AJ$3:$AJ$98,"&lt;="&amp;E$32,'Alle ruter'!$AH$3:$AH$98,'Energi per fylke'!$A37)/1000000</f>
        <v>0</v>
      </c>
      <c r="F37" s="4">
        <f>SUMIFS('Alle ruter'!$AA$3:$AA$98,'Alle ruter'!$Z$3:$Z$98,"Batteri",'Alle ruter'!$AJ$3:$AJ$98,"&lt;="&amp;F$32,'Alle ruter'!$AH$3:$AH$98,'Energi per fylke'!$A37)/1000000</f>
        <v>7.0019701650742983</v>
      </c>
      <c r="G37" s="4">
        <f>SUMIFS('Alle ruter'!$AA$3:$AA$98,'Alle ruter'!$Z$3:$Z$98,"Batteri",'Alle ruter'!$AJ$3:$AJ$98,"&lt;="&amp;G$32,'Alle ruter'!$AH$3:$AH$98,'Energi per fylke'!$A37)/1000000</f>
        <v>7.0019701650742983</v>
      </c>
      <c r="H37" s="4">
        <f>SUMIFS('Alle ruter'!$AA$3:$AA$98,'Alle ruter'!$Z$3:$Z$98,"Batteri",'Alle ruter'!$AJ$3:$AJ$98,"&lt;="&amp;H$32,'Alle ruter'!$AH$3:$AH$98,'Energi per fylke'!$A37)/1000000</f>
        <v>7.0019701650742983</v>
      </c>
      <c r="I37" s="4">
        <f>SUMIFS('Alle ruter'!$AA$3:$AA$98,'Alle ruter'!$Z$3:$Z$98,"Batteri",'Alle ruter'!$AJ$3:$AJ$98,"&lt;="&amp;I$32,'Alle ruter'!$AH$3:$AH$98,'Energi per fylke'!$A37)/1000000</f>
        <v>7.0019701650742983</v>
      </c>
      <c r="J37" s="4">
        <f>SUMIFS('Alle ruter'!$AA$3:$AA$98,'Alle ruter'!$Z$3:$Z$98,"Batteri",'Alle ruter'!$AJ$3:$AJ$98,"&lt;="&amp;J$32,'Alle ruter'!$AH$3:$AH$98,'Energi per fylke'!$A37)/1000000</f>
        <v>7.0019701650742983</v>
      </c>
      <c r="K37" s="4">
        <f>SUMIFS('Alle ruter'!$AA$3:$AA$98,'Alle ruter'!$Z$3:$Z$98,"Batteri",'Alle ruter'!$AJ$3:$AJ$98,"&lt;="&amp;K$32,'Alle ruter'!$AH$3:$AH$98,'Energi per fylke'!$A37)/1000000</f>
        <v>7.4184270597280983</v>
      </c>
      <c r="L37" s="4">
        <f>SUMIFS('Alle ruter'!$AA$3:$AA$98,'Alle ruter'!$Z$3:$Z$98,"Batteri",'Alle ruter'!$AJ$3:$AJ$98,"&lt;="&amp;L$32,'Alle ruter'!$AH$3:$AH$98,'Energi per fylke'!$A37)/1000000</f>
        <v>7.4184270597280983</v>
      </c>
      <c r="M37" s="4">
        <f>SUMIFS('Alle ruter'!$AA$3:$AA$98,'Alle ruter'!$Z$3:$Z$98,"Batteri",'Alle ruter'!$AJ$3:$AJ$98,"&lt;="&amp;M$32,'Alle ruter'!$AH$3:$AH$98,'Energi per fylke'!$A37)/1000000</f>
        <v>7.4184270597280983</v>
      </c>
      <c r="N37" s="4">
        <f>SUMIFS('Alle ruter'!$AA$3:$AA$98,'Alle ruter'!$Z$3:$Z$98,"Batteri",'Alle ruter'!$AJ$3:$AJ$98,"&lt;="&amp;N$32,'Alle ruter'!$AH$3:$AH$98,'Energi per fylke'!$A37)/1000000</f>
        <v>7.4184270597280983</v>
      </c>
      <c r="O37" s="4">
        <f>SUMIFS('Alle ruter'!$AA$3:$AA$98,'Alle ruter'!$Z$3:$Z$98,"Batteri",'Alle ruter'!$AJ$3:$AJ$98,"&lt;="&amp;O$32,'Alle ruter'!$AH$3:$AH$98,'Energi per fylke'!$A37)/1000000</f>
        <v>7.4184270597280983</v>
      </c>
      <c r="P37" s="4">
        <f>SUMIFS('Alle ruter'!$AA$3:$AA$98,'Alle ruter'!$Z$3:$Z$98,"Batteri",'Alle ruter'!$AJ$3:$AJ$98,"&lt;="&amp;P$32,'Alle ruter'!$AH$3:$AH$98,'Energi per fylke'!$A37)/1000000</f>
        <v>7.4184270597280983</v>
      </c>
    </row>
    <row r="38" spans="1:16" x14ac:dyDescent="0.3">
      <c r="A38" t="s">
        <v>19</v>
      </c>
      <c r="B38" s="36">
        <v>0</v>
      </c>
      <c r="C38" s="4">
        <f>SUMIFS('Alle ruter'!$AA$3:$AA$98,'Alle ruter'!$Z$3:$Z$98,"Batteri",'Alle ruter'!$AJ$3:$AJ$98,"&lt;="&amp;C$32,'Alle ruter'!$AH$3:$AH$98,'Energi per fylke'!$A38)/1000000</f>
        <v>0</v>
      </c>
      <c r="D38" s="4">
        <f>SUMIFS('Alle ruter'!$AA$3:$AA$98,'Alle ruter'!$Z$3:$Z$98,"Batteri",'Alle ruter'!$AJ$3:$AJ$98,"&lt;="&amp;D$32,'Alle ruter'!$AH$3:$AH$98,'Energi per fylke'!$A38)/1000000</f>
        <v>3.8579968956788999</v>
      </c>
      <c r="E38" s="4">
        <f>SUMIFS('Alle ruter'!$AA$3:$AA$98,'Alle ruter'!$Z$3:$Z$98,"Batteri",'Alle ruter'!$AJ$3:$AJ$98,"&lt;="&amp;E$32,'Alle ruter'!$AH$3:$AH$98,'Energi per fylke'!$A38)/1000000</f>
        <v>3.8579968956788999</v>
      </c>
      <c r="F38" s="4">
        <f>SUMIFS('Alle ruter'!$AA$3:$AA$98,'Alle ruter'!$Z$3:$Z$98,"Batteri",'Alle ruter'!$AJ$3:$AJ$98,"&lt;="&amp;F$32,'Alle ruter'!$AH$3:$AH$98,'Energi per fylke'!$A38)/1000000</f>
        <v>3.8579968956788999</v>
      </c>
      <c r="G38" s="4">
        <f>SUMIFS('Alle ruter'!$AA$3:$AA$98,'Alle ruter'!$Z$3:$Z$98,"Batteri",'Alle ruter'!$AJ$3:$AJ$98,"&lt;="&amp;G$32,'Alle ruter'!$AH$3:$AH$98,'Energi per fylke'!$A38)/1000000</f>
        <v>3.8579968956788999</v>
      </c>
      <c r="H38" s="4">
        <f>SUMIFS('Alle ruter'!$AA$3:$AA$98,'Alle ruter'!$Z$3:$Z$98,"Batteri",'Alle ruter'!$AJ$3:$AJ$98,"&lt;="&amp;H$32,'Alle ruter'!$AH$3:$AH$98,'Energi per fylke'!$A38)/1000000</f>
        <v>3.8579968956788999</v>
      </c>
      <c r="I38" s="4">
        <f>SUMIFS('Alle ruter'!$AA$3:$AA$98,'Alle ruter'!$Z$3:$Z$98,"Batteri",'Alle ruter'!$AJ$3:$AJ$98,"&lt;="&amp;I$32,'Alle ruter'!$AH$3:$AH$98,'Energi per fylke'!$A38)/1000000</f>
        <v>3.8579968956788999</v>
      </c>
      <c r="J38" s="4">
        <f>SUMIFS('Alle ruter'!$AA$3:$AA$98,'Alle ruter'!$Z$3:$Z$98,"Batteri",'Alle ruter'!$AJ$3:$AJ$98,"&lt;="&amp;J$32,'Alle ruter'!$AH$3:$AH$98,'Energi per fylke'!$A38)/1000000</f>
        <v>3.8579968956788999</v>
      </c>
      <c r="K38" s="4">
        <f>SUMIFS('Alle ruter'!$AA$3:$AA$98,'Alle ruter'!$Z$3:$Z$98,"Batteri",'Alle ruter'!$AJ$3:$AJ$98,"&lt;="&amp;K$32,'Alle ruter'!$AH$3:$AH$98,'Energi per fylke'!$A38)/1000000</f>
        <v>3.8579968956788999</v>
      </c>
      <c r="L38" s="4">
        <f>SUMIFS('Alle ruter'!$AA$3:$AA$98,'Alle ruter'!$Z$3:$Z$98,"Batteri",'Alle ruter'!$AJ$3:$AJ$98,"&lt;="&amp;L$32,'Alle ruter'!$AH$3:$AH$98,'Energi per fylke'!$A38)/1000000</f>
        <v>3.8579968956788999</v>
      </c>
      <c r="M38" s="4">
        <f>SUMIFS('Alle ruter'!$AA$3:$AA$98,'Alle ruter'!$Z$3:$Z$98,"Batteri",'Alle ruter'!$AJ$3:$AJ$98,"&lt;="&amp;M$32,'Alle ruter'!$AH$3:$AH$98,'Energi per fylke'!$A38)/1000000</f>
        <v>3.8579968956788999</v>
      </c>
      <c r="N38" s="4">
        <f>SUMIFS('Alle ruter'!$AA$3:$AA$98,'Alle ruter'!$Z$3:$Z$98,"Batteri",'Alle ruter'!$AJ$3:$AJ$98,"&lt;="&amp;N$32,'Alle ruter'!$AH$3:$AH$98,'Energi per fylke'!$A38)/1000000</f>
        <v>3.8579968956788999</v>
      </c>
      <c r="O38" s="4">
        <f>SUMIFS('Alle ruter'!$AA$3:$AA$98,'Alle ruter'!$Z$3:$Z$98,"Batteri",'Alle ruter'!$AJ$3:$AJ$98,"&lt;="&amp;O$32,'Alle ruter'!$AH$3:$AH$98,'Energi per fylke'!$A38)/1000000</f>
        <v>3.8579968956788999</v>
      </c>
      <c r="P38" s="4">
        <f>SUMIFS('Alle ruter'!$AA$3:$AA$98,'Alle ruter'!$Z$3:$Z$98,"Batteri",'Alle ruter'!$AJ$3:$AJ$98,"&lt;="&amp;P$32,'Alle ruter'!$AH$3:$AH$98,'Energi per fylke'!$A38)/1000000</f>
        <v>3.8579968956788999</v>
      </c>
    </row>
    <row r="39" spans="1:16" x14ac:dyDescent="0.3">
      <c r="A39" t="s">
        <v>8</v>
      </c>
      <c r="B39" s="36">
        <v>0</v>
      </c>
      <c r="C39" s="4">
        <f>SUMIFS('Alle ruter'!$AA$3:$AA$98,'Alle ruter'!$Z$3:$Z$98,"Batteri",'Alle ruter'!$AJ$3:$AJ$98,"&lt;="&amp;C$32,'Alle ruter'!$AH$3:$AH$98,'Energi per fylke'!$A39)/1000000</f>
        <v>0</v>
      </c>
      <c r="D39" s="4">
        <f>SUMIFS('Alle ruter'!$AA$3:$AA$98,'Alle ruter'!$Z$3:$Z$98,"Batteri",'Alle ruter'!$AJ$3:$AJ$98,"&lt;="&amp;D$32,'Alle ruter'!$AH$3:$AH$98,'Energi per fylke'!$A39)/1000000</f>
        <v>0</v>
      </c>
      <c r="E39" s="4">
        <f>SUMIFS('Alle ruter'!$AA$3:$AA$98,'Alle ruter'!$Z$3:$Z$98,"Batteri",'Alle ruter'!$AJ$3:$AJ$98,"&lt;="&amp;E$32,'Alle ruter'!$AH$3:$AH$98,'Energi per fylke'!$A39)/1000000</f>
        <v>0</v>
      </c>
      <c r="F39" s="4">
        <f>SUMIFS('Alle ruter'!$AA$3:$AA$98,'Alle ruter'!$Z$3:$Z$98,"Batteri",'Alle ruter'!$AJ$3:$AJ$98,"&lt;="&amp;F$32,'Alle ruter'!$AH$3:$AH$98,'Energi per fylke'!$A39)/1000000</f>
        <v>0</v>
      </c>
      <c r="G39" s="4">
        <f>SUMIFS('Alle ruter'!$AA$3:$AA$98,'Alle ruter'!$Z$3:$Z$98,"Batteri",'Alle ruter'!$AJ$3:$AJ$98,"&lt;="&amp;G$32,'Alle ruter'!$AH$3:$AH$98,'Energi per fylke'!$A39)/1000000</f>
        <v>8.6430447960999999</v>
      </c>
      <c r="H39" s="4">
        <f>SUMIFS('Alle ruter'!$AA$3:$AA$98,'Alle ruter'!$Z$3:$Z$98,"Batteri",'Alle ruter'!$AJ$3:$AJ$98,"&lt;="&amp;H$32,'Alle ruter'!$AH$3:$AH$98,'Energi per fylke'!$A39)/1000000</f>
        <v>8.6430447960999999</v>
      </c>
      <c r="I39" s="4">
        <f>SUMIFS('Alle ruter'!$AA$3:$AA$98,'Alle ruter'!$Z$3:$Z$98,"Batteri",'Alle ruter'!$AJ$3:$AJ$98,"&lt;="&amp;I$32,'Alle ruter'!$AH$3:$AH$98,'Energi per fylke'!$A39)/1000000</f>
        <v>8.6430447960999999</v>
      </c>
      <c r="J39" s="4">
        <f>SUMIFS('Alle ruter'!$AA$3:$AA$98,'Alle ruter'!$Z$3:$Z$98,"Batteri",'Alle ruter'!$AJ$3:$AJ$98,"&lt;="&amp;J$32,'Alle ruter'!$AH$3:$AH$98,'Energi per fylke'!$A39)/1000000</f>
        <v>8.6430447960999999</v>
      </c>
      <c r="K39" s="4">
        <f>SUMIFS('Alle ruter'!$AA$3:$AA$98,'Alle ruter'!$Z$3:$Z$98,"Batteri",'Alle ruter'!$AJ$3:$AJ$98,"&lt;="&amp;K$32,'Alle ruter'!$AH$3:$AH$98,'Energi per fylke'!$A39)/1000000</f>
        <v>8.6430447960999999</v>
      </c>
      <c r="L39" s="4">
        <f>SUMIFS('Alle ruter'!$AA$3:$AA$98,'Alle ruter'!$Z$3:$Z$98,"Batteri",'Alle ruter'!$AJ$3:$AJ$98,"&lt;="&amp;L$32,'Alle ruter'!$AH$3:$AH$98,'Energi per fylke'!$A39)/1000000</f>
        <v>8.6430447960999999</v>
      </c>
      <c r="M39" s="4">
        <f>SUMIFS('Alle ruter'!$AA$3:$AA$98,'Alle ruter'!$Z$3:$Z$98,"Batteri",'Alle ruter'!$AJ$3:$AJ$98,"&lt;="&amp;M$32,'Alle ruter'!$AH$3:$AH$98,'Energi per fylke'!$A39)/1000000</f>
        <v>8.6430447960999999</v>
      </c>
      <c r="N39" s="4">
        <f>SUMIFS('Alle ruter'!$AA$3:$AA$98,'Alle ruter'!$Z$3:$Z$98,"Batteri",'Alle ruter'!$AJ$3:$AJ$98,"&lt;="&amp;N$32,'Alle ruter'!$AH$3:$AH$98,'Energi per fylke'!$A39)/1000000</f>
        <v>8.6430447960999999</v>
      </c>
      <c r="O39" s="4">
        <f>SUMIFS('Alle ruter'!$AA$3:$AA$98,'Alle ruter'!$Z$3:$Z$98,"Batteri",'Alle ruter'!$AJ$3:$AJ$98,"&lt;="&amp;O$32,'Alle ruter'!$AH$3:$AH$98,'Energi per fylke'!$A39)/1000000</f>
        <v>8.6430447960999999</v>
      </c>
      <c r="P39" s="4">
        <f>SUMIFS('Alle ruter'!$AA$3:$AA$98,'Alle ruter'!$Z$3:$Z$98,"Batteri",'Alle ruter'!$AJ$3:$AJ$98,"&lt;="&amp;P$32,'Alle ruter'!$AH$3:$AH$98,'Energi per fylke'!$A39)/1000000</f>
        <v>8.6430447960999999</v>
      </c>
    </row>
    <row r="40" spans="1:16" x14ac:dyDescent="0.3">
      <c r="A40" t="s">
        <v>6</v>
      </c>
      <c r="B40" s="36">
        <v>0</v>
      </c>
      <c r="C40" s="4">
        <f>SUMIFS('Alle ruter'!$AA$3:$AA$98,'Alle ruter'!$Z$3:$Z$98,"Batteri",'Alle ruter'!$AJ$3:$AJ$98,"&lt;="&amp;C$32,'Alle ruter'!$AH$3:$AH$98,'Energi per fylke'!$A40)/1000000</f>
        <v>0</v>
      </c>
      <c r="D40" s="4">
        <f>SUMIFS('Alle ruter'!$AA$3:$AA$98,'Alle ruter'!$Z$3:$Z$98,"Batteri",'Alle ruter'!$AJ$3:$AJ$98,"&lt;="&amp;D$32,'Alle ruter'!$AH$3:$AH$98,'Energi per fylke'!$A40)/1000000</f>
        <v>0</v>
      </c>
      <c r="E40" s="4">
        <f>SUMIFS('Alle ruter'!$AA$3:$AA$98,'Alle ruter'!$Z$3:$Z$98,"Batteri",'Alle ruter'!$AJ$3:$AJ$98,"&lt;="&amp;E$32,'Alle ruter'!$AH$3:$AH$98,'Energi per fylke'!$A40)/1000000</f>
        <v>0</v>
      </c>
      <c r="F40" s="4">
        <f>SUMIFS('Alle ruter'!$AA$3:$AA$98,'Alle ruter'!$Z$3:$Z$98,"Batteri",'Alle ruter'!$AJ$3:$AJ$98,"&lt;="&amp;F$32,'Alle ruter'!$AH$3:$AH$98,'Energi per fylke'!$A40)/1000000</f>
        <v>0</v>
      </c>
      <c r="G40" s="4">
        <f>SUMIFS('Alle ruter'!$AA$3:$AA$98,'Alle ruter'!$Z$3:$Z$98,"Batteri",'Alle ruter'!$AJ$3:$AJ$98,"&lt;="&amp;G$32,'Alle ruter'!$AH$3:$AH$98,'Energi per fylke'!$A40)/1000000</f>
        <v>0</v>
      </c>
      <c r="H40" s="4">
        <f>SUMIFS('Alle ruter'!$AA$3:$AA$98,'Alle ruter'!$Z$3:$Z$98,"Batteri",'Alle ruter'!$AJ$3:$AJ$98,"&lt;="&amp;H$32,'Alle ruter'!$AH$3:$AH$98,'Energi per fylke'!$A40)/1000000</f>
        <v>0</v>
      </c>
      <c r="I40" s="4">
        <f>SUMIFS('Alle ruter'!$AA$3:$AA$98,'Alle ruter'!$Z$3:$Z$98,"Batteri",'Alle ruter'!$AJ$3:$AJ$98,"&lt;="&amp;I$32,'Alle ruter'!$AH$3:$AH$98,'Energi per fylke'!$A40)/1000000</f>
        <v>0</v>
      </c>
      <c r="J40" s="4">
        <f>SUMIFS('Alle ruter'!$AA$3:$AA$98,'Alle ruter'!$Z$3:$Z$98,"Batteri",'Alle ruter'!$AJ$3:$AJ$98,"&lt;="&amp;J$32,'Alle ruter'!$AH$3:$AH$98,'Energi per fylke'!$A40)/1000000</f>
        <v>0</v>
      </c>
      <c r="K40" s="4">
        <f>SUMIFS('Alle ruter'!$AA$3:$AA$98,'Alle ruter'!$Z$3:$Z$98,"Batteri",'Alle ruter'!$AJ$3:$AJ$98,"&lt;="&amp;K$32,'Alle ruter'!$AH$3:$AH$98,'Energi per fylke'!$A40)/1000000</f>
        <v>0</v>
      </c>
      <c r="L40" s="4">
        <f>SUMIFS('Alle ruter'!$AA$3:$AA$98,'Alle ruter'!$Z$3:$Z$98,"Batteri",'Alle ruter'!$AJ$3:$AJ$98,"&lt;="&amp;L$32,'Alle ruter'!$AH$3:$AH$98,'Energi per fylke'!$A40)/1000000</f>
        <v>0</v>
      </c>
      <c r="M40" s="4">
        <f>SUMIFS('Alle ruter'!$AA$3:$AA$98,'Alle ruter'!$Z$3:$Z$98,"Batteri",'Alle ruter'!$AJ$3:$AJ$98,"&lt;="&amp;M$32,'Alle ruter'!$AH$3:$AH$98,'Energi per fylke'!$A40)/1000000</f>
        <v>0</v>
      </c>
      <c r="N40" s="4">
        <f>SUMIFS('Alle ruter'!$AA$3:$AA$98,'Alle ruter'!$Z$3:$Z$98,"Batteri",'Alle ruter'!$AJ$3:$AJ$98,"&lt;="&amp;N$32,'Alle ruter'!$AH$3:$AH$98,'Energi per fylke'!$A40)/1000000</f>
        <v>0</v>
      </c>
      <c r="O40" s="4">
        <f>SUMIFS('Alle ruter'!$AA$3:$AA$98,'Alle ruter'!$Z$3:$Z$98,"Batteri",'Alle ruter'!$AJ$3:$AJ$98,"&lt;="&amp;O$32,'Alle ruter'!$AH$3:$AH$98,'Energi per fylke'!$A40)/1000000</f>
        <v>0</v>
      </c>
      <c r="P40" s="4">
        <f>SUMIFS('Alle ruter'!$AA$3:$AA$98,'Alle ruter'!$Z$3:$Z$98,"Batteri",'Alle ruter'!$AJ$3:$AJ$98,"&lt;="&amp;P$32,'Alle ruter'!$AH$3:$AH$98,'Energi per fylke'!$A40)/1000000</f>
        <v>0</v>
      </c>
    </row>
    <row r="41" spans="1:16" x14ac:dyDescent="0.3">
      <c r="A41" t="s">
        <v>390</v>
      </c>
      <c r="B41" s="36">
        <v>0</v>
      </c>
      <c r="C41" s="4">
        <f>SUMIFS('Alle ruter'!$AA$3:$AA$98,'Alle ruter'!$Z$3:$Z$98,"Batteri",'Alle ruter'!$AJ$3:$AJ$98,"&lt;="&amp;C$32,'Alle ruter'!$AH$3:$AH$98,'Energi per fylke'!$A41)/1000000</f>
        <v>0</v>
      </c>
      <c r="D41" s="4">
        <f>SUMIFS('Alle ruter'!$AA$3:$AA$98,'Alle ruter'!$Z$3:$Z$98,"Batteri",'Alle ruter'!$AJ$3:$AJ$98,"&lt;="&amp;D$32,'Alle ruter'!$AH$3:$AH$98,'Energi per fylke'!$A41)/1000000</f>
        <v>0</v>
      </c>
      <c r="E41" s="4">
        <f>SUMIFS('Alle ruter'!$AA$3:$AA$98,'Alle ruter'!$Z$3:$Z$98,"Batteri",'Alle ruter'!$AJ$3:$AJ$98,"&lt;="&amp;E$32,'Alle ruter'!$AH$3:$AH$98,'Energi per fylke'!$A41)/1000000</f>
        <v>0</v>
      </c>
      <c r="F41" s="4">
        <f>SUMIFS('Alle ruter'!$AA$3:$AA$98,'Alle ruter'!$Z$3:$Z$98,"Batteri",'Alle ruter'!$AJ$3:$AJ$98,"&lt;="&amp;F$32,'Alle ruter'!$AH$3:$AH$98,'Energi per fylke'!$A41)/1000000</f>
        <v>0</v>
      </c>
      <c r="G41" s="4">
        <f>SUMIFS('Alle ruter'!$AA$3:$AA$98,'Alle ruter'!$Z$3:$Z$98,"Batteri",'Alle ruter'!$AJ$3:$AJ$98,"&lt;="&amp;G$32,'Alle ruter'!$AH$3:$AH$98,'Energi per fylke'!$A41)/1000000</f>
        <v>0</v>
      </c>
      <c r="H41" s="4">
        <f>SUMIFS('Alle ruter'!$AA$3:$AA$98,'Alle ruter'!$Z$3:$Z$98,"Batteri",'Alle ruter'!$AJ$3:$AJ$98,"&lt;="&amp;H$32,'Alle ruter'!$AH$3:$AH$98,'Energi per fylke'!$A41)/1000000</f>
        <v>0</v>
      </c>
      <c r="I41" s="4">
        <f>SUMIFS('Alle ruter'!$AA$3:$AA$98,'Alle ruter'!$Z$3:$Z$98,"Batteri",'Alle ruter'!$AJ$3:$AJ$98,"&lt;="&amp;I$32,'Alle ruter'!$AH$3:$AH$98,'Energi per fylke'!$A41)/1000000</f>
        <v>0</v>
      </c>
      <c r="J41" s="4">
        <f>SUMIFS('Alle ruter'!$AA$3:$AA$98,'Alle ruter'!$Z$3:$Z$98,"Batteri",'Alle ruter'!$AJ$3:$AJ$98,"&lt;="&amp;J$32,'Alle ruter'!$AH$3:$AH$98,'Energi per fylke'!$A41)/1000000</f>
        <v>0</v>
      </c>
      <c r="K41" s="4">
        <f>SUMIFS('Alle ruter'!$AA$3:$AA$98,'Alle ruter'!$Z$3:$Z$98,"Batteri",'Alle ruter'!$AJ$3:$AJ$98,"&lt;="&amp;K$32,'Alle ruter'!$AH$3:$AH$98,'Energi per fylke'!$A41)/1000000</f>
        <v>0</v>
      </c>
      <c r="L41" s="4">
        <f>SUMIFS('Alle ruter'!$AA$3:$AA$98,'Alle ruter'!$Z$3:$Z$98,"Batteri",'Alle ruter'!$AJ$3:$AJ$98,"&lt;="&amp;L$32,'Alle ruter'!$AH$3:$AH$98,'Energi per fylke'!$A41)/1000000</f>
        <v>0</v>
      </c>
      <c r="M41" s="4">
        <f>SUMIFS('Alle ruter'!$AA$3:$AA$98,'Alle ruter'!$Z$3:$Z$98,"Batteri",'Alle ruter'!$AJ$3:$AJ$98,"&lt;="&amp;M$32,'Alle ruter'!$AH$3:$AH$98,'Energi per fylke'!$A41)/1000000</f>
        <v>0</v>
      </c>
      <c r="N41" s="4">
        <f>SUMIFS('Alle ruter'!$AA$3:$AA$98,'Alle ruter'!$Z$3:$Z$98,"Batteri",'Alle ruter'!$AJ$3:$AJ$98,"&lt;="&amp;N$32,'Alle ruter'!$AH$3:$AH$98,'Energi per fylke'!$A41)/1000000</f>
        <v>0</v>
      </c>
      <c r="O41" s="4">
        <f>SUMIFS('Alle ruter'!$AA$3:$AA$98,'Alle ruter'!$Z$3:$Z$98,"Batteri",'Alle ruter'!$AJ$3:$AJ$98,"&lt;="&amp;O$32,'Alle ruter'!$AH$3:$AH$98,'Energi per fylke'!$A41)/1000000</f>
        <v>0</v>
      </c>
      <c r="P41" s="4">
        <f>SUMIFS('Alle ruter'!$AA$3:$AA$98,'Alle ruter'!$Z$3:$Z$98,"Batteri",'Alle ruter'!$AJ$3:$AJ$98,"&lt;="&amp;P$32,'Alle ruter'!$AH$3:$AH$98,'Energi per fylke'!$A41)/1000000</f>
        <v>1.1925811074177</v>
      </c>
    </row>
    <row r="42" spans="1:16" x14ac:dyDescent="0.3">
      <c r="A42" t="s">
        <v>421</v>
      </c>
      <c r="B42" s="3">
        <f t="shared" ref="B42:J42" si="6">SUM(B34:B41)</f>
        <v>0</v>
      </c>
      <c r="C42" s="3">
        <f t="shared" si="6"/>
        <v>9.1144715520657495</v>
      </c>
      <c r="D42" s="3">
        <f t="shared" si="6"/>
        <v>13.783748112654649</v>
      </c>
      <c r="E42" s="3">
        <f t="shared" si="6"/>
        <v>27.279156367641754</v>
      </c>
      <c r="F42" s="3">
        <f t="shared" si="6"/>
        <v>34.281126532716051</v>
      </c>
      <c r="G42" s="3">
        <f t="shared" si="6"/>
        <v>42.924171328816051</v>
      </c>
      <c r="H42" s="3">
        <f t="shared" si="6"/>
        <v>43.5546098631917</v>
      </c>
      <c r="I42" s="3">
        <f t="shared" si="6"/>
        <v>43.5546098631917</v>
      </c>
      <c r="J42" s="3">
        <f t="shared" si="6"/>
        <v>43.5546098631917</v>
      </c>
      <c r="K42" s="3">
        <f>SUM(K34:K41)</f>
        <v>43.971066757845499</v>
      </c>
      <c r="L42" s="3">
        <f t="shared" ref="L42:P42" si="7">SUM(L34:L41)</f>
        <v>46.718600556340697</v>
      </c>
      <c r="M42" s="3">
        <f t="shared" si="7"/>
        <v>46.718600556340697</v>
      </c>
      <c r="N42" s="3">
        <f t="shared" si="7"/>
        <v>46.718600556340697</v>
      </c>
      <c r="O42" s="3">
        <f t="shared" si="7"/>
        <v>46.718600556340697</v>
      </c>
      <c r="P42" s="3">
        <f t="shared" si="7"/>
        <v>47.911181663758398</v>
      </c>
    </row>
    <row r="46" spans="1:16" x14ac:dyDescent="0.3">
      <c r="C46" s="45" t="s">
        <v>417</v>
      </c>
      <c r="D46" s="45"/>
      <c r="E46" s="45"/>
      <c r="F46" s="45"/>
      <c r="G46" s="45"/>
      <c r="H46" s="45"/>
      <c r="I46" s="45"/>
      <c r="J46" s="45"/>
      <c r="K46" s="45"/>
    </row>
    <row r="47" spans="1:16" x14ac:dyDescent="0.3">
      <c r="C47" s="35">
        <v>44926</v>
      </c>
      <c r="D47" s="35">
        <v>45291</v>
      </c>
      <c r="E47" s="35">
        <v>45657</v>
      </c>
      <c r="F47" s="35">
        <v>46022</v>
      </c>
      <c r="G47" s="35">
        <v>46387</v>
      </c>
      <c r="H47" s="35">
        <v>46752</v>
      </c>
      <c r="I47" s="35">
        <v>47118</v>
      </c>
      <c r="J47" s="35">
        <v>47483</v>
      </c>
      <c r="K47" s="35">
        <v>47848</v>
      </c>
      <c r="L47" s="35">
        <v>48213</v>
      </c>
      <c r="M47" s="35">
        <v>48579</v>
      </c>
      <c r="N47" s="35">
        <v>48944</v>
      </c>
      <c r="O47" s="35">
        <v>49309</v>
      </c>
      <c r="P47" s="35">
        <v>49674</v>
      </c>
    </row>
    <row r="48" spans="1:16" x14ac:dyDescent="0.3">
      <c r="A48" s="24" t="s">
        <v>2</v>
      </c>
      <c r="B48" s="37">
        <v>2021</v>
      </c>
      <c r="C48" s="24">
        <f>YEAR(C47)</f>
        <v>2022</v>
      </c>
      <c r="D48" s="24">
        <f t="shared" ref="D48:P48" si="8">YEAR(D47)</f>
        <v>2023</v>
      </c>
      <c r="E48" s="24">
        <f t="shared" si="8"/>
        <v>2024</v>
      </c>
      <c r="F48" s="24">
        <f t="shared" si="8"/>
        <v>2025</v>
      </c>
      <c r="G48" s="24">
        <f t="shared" si="8"/>
        <v>2026</v>
      </c>
      <c r="H48" s="24">
        <f t="shared" si="8"/>
        <v>2027</v>
      </c>
      <c r="I48" s="24">
        <f t="shared" si="8"/>
        <v>2028</v>
      </c>
      <c r="J48" s="24">
        <f t="shared" si="8"/>
        <v>2029</v>
      </c>
      <c r="K48" s="24">
        <f t="shared" si="8"/>
        <v>2030</v>
      </c>
      <c r="L48" s="24">
        <f t="shared" si="8"/>
        <v>2031</v>
      </c>
      <c r="M48" s="24">
        <f t="shared" si="8"/>
        <v>2032</v>
      </c>
      <c r="N48" s="24">
        <f t="shared" si="8"/>
        <v>2033</v>
      </c>
      <c r="O48" s="24">
        <f t="shared" si="8"/>
        <v>2034</v>
      </c>
      <c r="P48" s="24">
        <f t="shared" si="8"/>
        <v>2035</v>
      </c>
    </row>
    <row r="49" spans="1:16" x14ac:dyDescent="0.3">
      <c r="A49" t="s">
        <v>388</v>
      </c>
      <c r="B49" s="4">
        <f>(SUMIFS('Alle ruter'!$AL$3:$AL$98,'Alle ruter'!$Z$3:$Z$98,"Batteri",'Alle ruter'!$AH$3:$AH$98,'Energi per fylke'!$A49)+SUMIFS('Alle ruter'!$AL$3:$AL$98,'Alle ruter'!$Z$3:$Z$98,"H2",'Alle ruter'!$AH$3:$AH$98,'Energi per fylke'!$A49))/1000000</f>
        <v>17.238107249999999</v>
      </c>
      <c r="C49" s="4">
        <f>(SUMIFS('Alle ruter'!$AL$3:$AL$98,'Alle ruter'!$Z$3:$Z$98,"Batteri",'Alle ruter'!$AJ$3:$AJ$98,"&gt;"&amp;C$47,'Alle ruter'!$AH$3:$AH$98,'Energi per fylke'!$A49)+SUMIFS('Alle ruter'!$AL$3:$AL$98,'Alle ruter'!$Z$3:$Z$98,"H2",'Alle ruter'!$AJ$3:$AJ$98,"&gt;"&amp;C$32,'Alle ruter'!$AH$3:$AH$98,'Energi per fylke'!$A49))/1000000</f>
        <v>12.635201800000001</v>
      </c>
      <c r="D49" s="4">
        <f>(SUMIFS('Alle ruter'!$AL$3:$AL$98,'Alle ruter'!$Z$3:$Z$98,"Batteri",'Alle ruter'!$AJ$3:$AJ$98,"&gt;"&amp;D$47,'Alle ruter'!$AH$3:$AH$98,'Energi per fylke'!$A49)+SUMIFS('Alle ruter'!$AL$3:$AL$98,'Alle ruter'!$Z$3:$Z$98,"H2",'Alle ruter'!$AJ$3:$AJ$98,"&gt;"&amp;D$32,'Alle ruter'!$AH$3:$AH$98,'Energi per fylke'!$A49))/1000000</f>
        <v>12.635201800000001</v>
      </c>
      <c r="E49" s="4">
        <f>(SUMIFS('Alle ruter'!$AL$3:$AL$98,'Alle ruter'!$Z$3:$Z$98,"Batteri",'Alle ruter'!$AJ$3:$AJ$98,"&gt;"&amp;E$47,'Alle ruter'!$AH$3:$AH$98,'Energi per fylke'!$A49)+SUMIFS('Alle ruter'!$AL$3:$AL$98,'Alle ruter'!$Z$3:$Z$98,"H2",'Alle ruter'!$AJ$3:$AJ$98,"&gt;"&amp;E$32,'Alle ruter'!$AH$3:$AH$98,'Energi per fylke'!$A49))/1000000</f>
        <v>5.1418653000000001</v>
      </c>
      <c r="F49" s="4">
        <f>(SUMIFS('Alle ruter'!$AL$3:$AL$98,'Alle ruter'!$Z$3:$Z$98,"Batteri",'Alle ruter'!$AJ$3:$AJ$98,"&gt;"&amp;F$47,'Alle ruter'!$AH$3:$AH$98,'Energi per fylke'!$A49)+SUMIFS('Alle ruter'!$AL$3:$AL$98,'Alle ruter'!$Z$3:$Z$98,"H2",'Alle ruter'!$AJ$3:$AJ$98,"&gt;"&amp;F$32,'Alle ruter'!$AH$3:$AH$98,'Energi per fylke'!$A49))/1000000</f>
        <v>5.1418653000000001</v>
      </c>
      <c r="G49" s="4">
        <f>(SUMIFS('Alle ruter'!$AL$3:$AL$98,'Alle ruter'!$Z$3:$Z$98,"Batteri",'Alle ruter'!$AJ$3:$AJ$98,"&gt;"&amp;G$47,'Alle ruter'!$AH$3:$AH$98,'Energi per fylke'!$A49)+SUMIFS('Alle ruter'!$AL$3:$AL$98,'Alle ruter'!$Z$3:$Z$98,"H2",'Alle ruter'!$AJ$3:$AJ$98,"&gt;"&amp;G$32,'Alle ruter'!$AH$3:$AH$98,'Energi per fylke'!$A49))/1000000</f>
        <v>4.8691070999999999</v>
      </c>
      <c r="H49" s="4">
        <f>(SUMIFS('Alle ruter'!$AL$3:$AL$98,'Alle ruter'!$Z$3:$Z$98,"Batteri",'Alle ruter'!$AJ$3:$AJ$98,"&gt;"&amp;H$47,'Alle ruter'!$AH$3:$AH$98,'Energi per fylke'!$A49)+SUMIFS('Alle ruter'!$AL$3:$AL$98,'Alle ruter'!$Z$3:$Z$98,"H2",'Alle ruter'!$AJ$3:$AJ$98,"&gt;"&amp;H$32,'Alle ruter'!$AH$3:$AH$98,'Energi per fylke'!$A49))/1000000</f>
        <v>0</v>
      </c>
      <c r="I49" s="4">
        <f>(SUMIFS('Alle ruter'!$AL$3:$AL$98,'Alle ruter'!$Z$3:$Z$98,"Batteri",'Alle ruter'!$AJ$3:$AJ$98,"&gt;"&amp;I$47,'Alle ruter'!$AH$3:$AH$98,'Energi per fylke'!$A49)+SUMIFS('Alle ruter'!$AL$3:$AL$98,'Alle ruter'!$Z$3:$Z$98,"H2",'Alle ruter'!$AJ$3:$AJ$98,"&gt;"&amp;I$32,'Alle ruter'!$AH$3:$AH$98,'Energi per fylke'!$A49))/1000000</f>
        <v>0</v>
      </c>
      <c r="J49" s="4">
        <f>(SUMIFS('Alle ruter'!$AL$3:$AL$98,'Alle ruter'!$Z$3:$Z$98,"Batteri",'Alle ruter'!$AJ$3:$AJ$98,"&gt;"&amp;J$47,'Alle ruter'!$AH$3:$AH$98,'Energi per fylke'!$A49)+SUMIFS('Alle ruter'!$AL$3:$AL$98,'Alle ruter'!$Z$3:$Z$98,"H2",'Alle ruter'!$AJ$3:$AJ$98,"&gt;"&amp;J$32,'Alle ruter'!$AH$3:$AH$98,'Energi per fylke'!$A49))/1000000</f>
        <v>0</v>
      </c>
      <c r="K49" s="4">
        <f>(SUMIFS('Alle ruter'!$AL$3:$AL$98,'Alle ruter'!$Z$3:$Z$98,"Batteri",'Alle ruter'!$AJ$3:$AJ$98,"&gt;"&amp;K$47,'Alle ruter'!$AH$3:$AH$98,'Energi per fylke'!$A49)+SUMIFS('Alle ruter'!$AL$3:$AL$98,'Alle ruter'!$Z$3:$Z$98,"H2",'Alle ruter'!$AJ$3:$AJ$98,"&gt;"&amp;K$32,'Alle ruter'!$AH$3:$AH$98,'Energi per fylke'!$A49))/1000000</f>
        <v>0</v>
      </c>
      <c r="L49" s="4">
        <f>(SUMIFS('Alle ruter'!$AL$3:$AL$98,'Alle ruter'!$Z$3:$Z$98,"Batteri",'Alle ruter'!$AJ$3:$AJ$98,"&gt;"&amp;L$47,'Alle ruter'!$AH$3:$AH$98,'Energi per fylke'!$A49)+SUMIFS('Alle ruter'!$AL$3:$AL$98,'Alle ruter'!$Z$3:$Z$98,"H2",'Alle ruter'!$AJ$3:$AJ$98,"&gt;"&amp;L$32,'Alle ruter'!$AH$3:$AH$98,'Energi per fylke'!$A49))/1000000</f>
        <v>0</v>
      </c>
      <c r="M49" s="4">
        <f>(SUMIFS('Alle ruter'!$AL$3:$AL$98,'Alle ruter'!$Z$3:$Z$98,"Batteri",'Alle ruter'!$AJ$3:$AJ$98,"&gt;"&amp;M$47,'Alle ruter'!$AH$3:$AH$98,'Energi per fylke'!$A49)+SUMIFS('Alle ruter'!$AL$3:$AL$98,'Alle ruter'!$Z$3:$Z$98,"H2",'Alle ruter'!$AJ$3:$AJ$98,"&gt;"&amp;M$32,'Alle ruter'!$AH$3:$AH$98,'Energi per fylke'!$A49))/1000000</f>
        <v>0</v>
      </c>
      <c r="N49" s="4">
        <f>(SUMIFS('Alle ruter'!$AL$3:$AL$98,'Alle ruter'!$Z$3:$Z$98,"Batteri",'Alle ruter'!$AJ$3:$AJ$98,"&gt;"&amp;N$47,'Alle ruter'!$AH$3:$AH$98,'Energi per fylke'!$A49)+SUMIFS('Alle ruter'!$AL$3:$AL$98,'Alle ruter'!$Z$3:$Z$98,"H2",'Alle ruter'!$AJ$3:$AJ$98,"&gt;"&amp;N$32,'Alle ruter'!$AH$3:$AH$98,'Energi per fylke'!$A49))/1000000</f>
        <v>0</v>
      </c>
      <c r="O49" s="4">
        <f>(SUMIFS('Alle ruter'!$AL$3:$AL$98,'Alle ruter'!$Z$3:$Z$98,"Batteri",'Alle ruter'!$AJ$3:$AJ$98,"&gt;"&amp;O$47,'Alle ruter'!$AH$3:$AH$98,'Energi per fylke'!$A49)+SUMIFS('Alle ruter'!$AL$3:$AL$98,'Alle ruter'!$Z$3:$Z$98,"H2",'Alle ruter'!$AJ$3:$AJ$98,"&gt;"&amp;O$32,'Alle ruter'!$AH$3:$AH$98,'Energi per fylke'!$A49))/1000000</f>
        <v>0</v>
      </c>
      <c r="P49" s="4">
        <f>(SUMIFS('Alle ruter'!$AL$3:$AL$98,'Alle ruter'!$Z$3:$Z$98,"Batteri",'Alle ruter'!$AJ$3:$AJ$98,"&gt;"&amp;P$47,'Alle ruter'!$AH$3:$AH$98,'Energi per fylke'!$A49)+SUMIFS('Alle ruter'!$AL$3:$AL$98,'Alle ruter'!$Z$3:$Z$98,"H2",'Alle ruter'!$AJ$3:$AJ$98,"&gt;"&amp;P$32,'Alle ruter'!$AH$3:$AH$98,'Energi per fylke'!$A49))/1000000</f>
        <v>0</v>
      </c>
    </row>
    <row r="50" spans="1:16" x14ac:dyDescent="0.3">
      <c r="A50" t="s">
        <v>15</v>
      </c>
      <c r="B50" s="4">
        <f>(SUMIFS('Alle ruter'!$AL$3:$AL$98,'Alle ruter'!$Z$3:$Z$98,"Batteri",'Alle ruter'!$AH$3:$AH$98,'Energi per fylke'!$A50)+SUMIFS('Alle ruter'!$AL$3:$AL$98,'Alle ruter'!$Z$3:$Z$98,"H2",'Alle ruter'!$AH$3:$AH$98,'Energi per fylke'!$A50))/1000000</f>
        <v>11.175323249999998</v>
      </c>
      <c r="C50" s="4">
        <f>(SUMIFS('Alle ruter'!$AL$3:$AL$98,'Alle ruter'!$Z$3:$Z$98,"Batteri",'Alle ruter'!$AJ$3:$AJ$98,"&gt;"&amp;C$47,'Alle ruter'!$AH$3:$AH$98,'Energi per fylke'!$A50)+SUMIFS('Alle ruter'!$AL$3:$AL$98,'Alle ruter'!$Z$3:$Z$98,"H2",'Alle ruter'!$AJ$3:$AJ$98,"&gt;"&amp;C$32,'Alle ruter'!$AH$3:$AH$98,'Energi per fylke'!$A50))/1000000</f>
        <v>4.3157296000000009</v>
      </c>
      <c r="D50" s="4">
        <f>(SUMIFS('Alle ruter'!$AL$3:$AL$98,'Alle ruter'!$Z$3:$Z$98,"Batteri",'Alle ruter'!$AJ$3:$AJ$98,"&gt;"&amp;D$47,'Alle ruter'!$AH$3:$AH$98,'Energi per fylke'!$A50)+SUMIFS('Alle ruter'!$AL$3:$AL$98,'Alle ruter'!$Z$3:$Z$98,"H2",'Alle ruter'!$AJ$3:$AJ$98,"&gt;"&amp;D$32,'Alle ruter'!$AH$3:$AH$98,'Energi per fylke'!$A50))/1000000</f>
        <v>3.9854529000000003</v>
      </c>
      <c r="E50" s="4">
        <f>(SUMIFS('Alle ruter'!$AL$3:$AL$98,'Alle ruter'!$Z$3:$Z$98,"Batteri",'Alle ruter'!$AJ$3:$AJ$98,"&gt;"&amp;E$47,'Alle ruter'!$AH$3:$AH$98,'Energi per fylke'!$A50)+SUMIFS('Alle ruter'!$AL$3:$AL$98,'Alle ruter'!$Z$3:$Z$98,"H2",'Alle ruter'!$AJ$3:$AJ$98,"&gt;"&amp;E$32,'Alle ruter'!$AH$3:$AH$98,'Energi per fylke'!$A50))/1000000</f>
        <v>3.9854529000000003</v>
      </c>
      <c r="F50" s="4">
        <f>(SUMIFS('Alle ruter'!$AL$3:$AL$98,'Alle ruter'!$Z$3:$Z$98,"Batteri",'Alle ruter'!$AJ$3:$AJ$98,"&gt;"&amp;F$47,'Alle ruter'!$AH$3:$AH$98,'Energi per fylke'!$A50)+SUMIFS('Alle ruter'!$AL$3:$AL$98,'Alle ruter'!$Z$3:$Z$98,"H2",'Alle ruter'!$AJ$3:$AJ$98,"&gt;"&amp;F$32,'Alle ruter'!$AH$3:$AH$98,'Energi per fylke'!$A50))/1000000</f>
        <v>3.9854529000000003</v>
      </c>
      <c r="G50" s="4">
        <f>(SUMIFS('Alle ruter'!$AL$3:$AL$98,'Alle ruter'!$Z$3:$Z$98,"Batteri",'Alle ruter'!$AJ$3:$AJ$98,"&gt;"&amp;G$47,'Alle ruter'!$AH$3:$AH$98,'Energi per fylke'!$A50)+SUMIFS('Alle ruter'!$AL$3:$AL$98,'Alle ruter'!$Z$3:$Z$98,"H2",'Alle ruter'!$AJ$3:$AJ$98,"&gt;"&amp;G$32,'Alle ruter'!$AH$3:$AH$98,'Energi per fylke'!$A50))/1000000</f>
        <v>3.9854529000000003</v>
      </c>
      <c r="H50" s="4">
        <f>(SUMIFS('Alle ruter'!$AL$3:$AL$98,'Alle ruter'!$Z$3:$Z$98,"Batteri",'Alle ruter'!$AJ$3:$AJ$98,"&gt;"&amp;H$47,'Alle ruter'!$AH$3:$AH$98,'Energi per fylke'!$A50)+SUMIFS('Alle ruter'!$AL$3:$AL$98,'Alle ruter'!$Z$3:$Z$98,"H2",'Alle ruter'!$AJ$3:$AJ$98,"&gt;"&amp;H$32,'Alle ruter'!$AH$3:$AH$98,'Energi per fylke'!$A50))/1000000</f>
        <v>0</v>
      </c>
      <c r="I50" s="4">
        <f>(SUMIFS('Alle ruter'!$AL$3:$AL$98,'Alle ruter'!$Z$3:$Z$98,"Batteri",'Alle ruter'!$AJ$3:$AJ$98,"&gt;"&amp;I$47,'Alle ruter'!$AH$3:$AH$98,'Energi per fylke'!$A50)+SUMIFS('Alle ruter'!$AL$3:$AL$98,'Alle ruter'!$Z$3:$Z$98,"H2",'Alle ruter'!$AJ$3:$AJ$98,"&gt;"&amp;I$32,'Alle ruter'!$AH$3:$AH$98,'Energi per fylke'!$A50))/1000000</f>
        <v>0</v>
      </c>
      <c r="J50" s="4">
        <f>(SUMIFS('Alle ruter'!$AL$3:$AL$98,'Alle ruter'!$Z$3:$Z$98,"Batteri",'Alle ruter'!$AJ$3:$AJ$98,"&gt;"&amp;J$47,'Alle ruter'!$AH$3:$AH$98,'Energi per fylke'!$A50)+SUMIFS('Alle ruter'!$AL$3:$AL$98,'Alle ruter'!$Z$3:$Z$98,"H2",'Alle ruter'!$AJ$3:$AJ$98,"&gt;"&amp;J$32,'Alle ruter'!$AH$3:$AH$98,'Energi per fylke'!$A50))/1000000</f>
        <v>0</v>
      </c>
      <c r="K50" s="4">
        <f>(SUMIFS('Alle ruter'!$AL$3:$AL$98,'Alle ruter'!$Z$3:$Z$98,"Batteri",'Alle ruter'!$AJ$3:$AJ$98,"&gt;"&amp;K$47,'Alle ruter'!$AH$3:$AH$98,'Energi per fylke'!$A50)+SUMIFS('Alle ruter'!$AL$3:$AL$98,'Alle ruter'!$Z$3:$Z$98,"H2",'Alle ruter'!$AJ$3:$AJ$98,"&gt;"&amp;K$32,'Alle ruter'!$AH$3:$AH$98,'Energi per fylke'!$A50))/1000000</f>
        <v>0</v>
      </c>
      <c r="L50" s="4">
        <f>(SUMIFS('Alle ruter'!$AL$3:$AL$98,'Alle ruter'!$Z$3:$Z$98,"Batteri",'Alle ruter'!$AJ$3:$AJ$98,"&gt;"&amp;L$47,'Alle ruter'!$AH$3:$AH$98,'Energi per fylke'!$A50)+SUMIFS('Alle ruter'!$AL$3:$AL$98,'Alle ruter'!$Z$3:$Z$98,"H2",'Alle ruter'!$AJ$3:$AJ$98,"&gt;"&amp;L$32,'Alle ruter'!$AH$3:$AH$98,'Energi per fylke'!$A50))/1000000</f>
        <v>0</v>
      </c>
      <c r="M50" s="4">
        <f>(SUMIFS('Alle ruter'!$AL$3:$AL$98,'Alle ruter'!$Z$3:$Z$98,"Batteri",'Alle ruter'!$AJ$3:$AJ$98,"&gt;"&amp;M$47,'Alle ruter'!$AH$3:$AH$98,'Energi per fylke'!$A50)+SUMIFS('Alle ruter'!$AL$3:$AL$98,'Alle ruter'!$Z$3:$Z$98,"H2",'Alle ruter'!$AJ$3:$AJ$98,"&gt;"&amp;M$32,'Alle ruter'!$AH$3:$AH$98,'Energi per fylke'!$A50))/1000000</f>
        <v>0</v>
      </c>
      <c r="N50" s="4">
        <f>(SUMIFS('Alle ruter'!$AL$3:$AL$98,'Alle ruter'!$Z$3:$Z$98,"Batteri",'Alle ruter'!$AJ$3:$AJ$98,"&gt;"&amp;N$47,'Alle ruter'!$AH$3:$AH$98,'Energi per fylke'!$A50)+SUMIFS('Alle ruter'!$AL$3:$AL$98,'Alle ruter'!$Z$3:$Z$98,"H2",'Alle ruter'!$AJ$3:$AJ$98,"&gt;"&amp;N$32,'Alle ruter'!$AH$3:$AH$98,'Energi per fylke'!$A50))/1000000</f>
        <v>0</v>
      </c>
      <c r="O50" s="4">
        <f>(SUMIFS('Alle ruter'!$AL$3:$AL$98,'Alle ruter'!$Z$3:$Z$98,"Batteri",'Alle ruter'!$AJ$3:$AJ$98,"&gt;"&amp;O$47,'Alle ruter'!$AH$3:$AH$98,'Energi per fylke'!$A50)+SUMIFS('Alle ruter'!$AL$3:$AL$98,'Alle ruter'!$Z$3:$Z$98,"H2",'Alle ruter'!$AJ$3:$AJ$98,"&gt;"&amp;O$32,'Alle ruter'!$AH$3:$AH$98,'Energi per fylke'!$A50))/1000000</f>
        <v>0</v>
      </c>
      <c r="P50" s="4">
        <f>(SUMIFS('Alle ruter'!$AL$3:$AL$98,'Alle ruter'!$Z$3:$Z$98,"Batteri",'Alle ruter'!$AJ$3:$AJ$98,"&gt;"&amp;P$47,'Alle ruter'!$AH$3:$AH$98,'Energi per fylke'!$A50)+SUMIFS('Alle ruter'!$AL$3:$AL$98,'Alle ruter'!$Z$3:$Z$98,"H2",'Alle ruter'!$AJ$3:$AJ$98,"&gt;"&amp;P$32,'Alle ruter'!$AH$3:$AH$98,'Energi per fylke'!$A50))/1000000</f>
        <v>0</v>
      </c>
    </row>
    <row r="51" spans="1:16" x14ac:dyDescent="0.3">
      <c r="A51" t="s">
        <v>11</v>
      </c>
      <c r="B51" s="4">
        <f>(SUMIFS('Alle ruter'!$AL$3:$AL$98,'Alle ruter'!$Z$3:$Z$98,"Batteri",'Alle ruter'!$AH$3:$AH$98,'Energi per fylke'!$A51)+SUMIFS('Alle ruter'!$AL$3:$AL$98,'Alle ruter'!$Z$3:$Z$98,"H2",'Alle ruter'!$AH$3:$AH$98,'Energi per fylke'!$A51))/1000000</f>
        <v>5.7516972500000003</v>
      </c>
      <c r="C51" s="4">
        <f>(SUMIFS('Alle ruter'!$AL$3:$AL$98,'Alle ruter'!$Z$3:$Z$98,"Batteri",'Alle ruter'!$AJ$3:$AJ$98,"&gt;"&amp;C$47,'Alle ruter'!$AH$3:$AH$98,'Energi per fylke'!$A51)+SUMIFS('Alle ruter'!$AL$3:$AL$98,'Alle ruter'!$Z$3:$Z$98,"H2",'Alle ruter'!$AJ$3:$AJ$98,"&gt;"&amp;C$32,'Alle ruter'!$AH$3:$AH$98,'Energi per fylke'!$A51))/1000000</f>
        <v>5.7516972500000003</v>
      </c>
      <c r="D51" s="4">
        <f>(SUMIFS('Alle ruter'!$AL$3:$AL$98,'Alle ruter'!$Z$3:$Z$98,"Batteri",'Alle ruter'!$AJ$3:$AJ$98,"&gt;"&amp;D$47,'Alle ruter'!$AH$3:$AH$98,'Energi per fylke'!$A51)+SUMIFS('Alle ruter'!$AL$3:$AL$98,'Alle ruter'!$Z$3:$Z$98,"H2",'Alle ruter'!$AJ$3:$AJ$98,"&gt;"&amp;D$32,'Alle ruter'!$AH$3:$AH$98,'Energi per fylke'!$A51))/1000000</f>
        <v>5.5329072500000001</v>
      </c>
      <c r="E51" s="4">
        <f>(SUMIFS('Alle ruter'!$AL$3:$AL$98,'Alle ruter'!$Z$3:$Z$98,"Batteri",'Alle ruter'!$AJ$3:$AJ$98,"&gt;"&amp;E$47,'Alle ruter'!$AH$3:$AH$98,'Energi per fylke'!$A51)+SUMIFS('Alle ruter'!$AL$3:$AL$98,'Alle ruter'!$Z$3:$Z$98,"H2",'Alle ruter'!$AJ$3:$AJ$98,"&gt;"&amp;E$32,'Alle ruter'!$AH$3:$AH$98,'Energi per fylke'!$A51))/1000000</f>
        <v>0.74096880000000009</v>
      </c>
      <c r="F51" s="4">
        <f>(SUMIFS('Alle ruter'!$AL$3:$AL$98,'Alle ruter'!$Z$3:$Z$98,"Batteri",'Alle ruter'!$AJ$3:$AJ$98,"&gt;"&amp;F$47,'Alle ruter'!$AH$3:$AH$98,'Energi per fylke'!$A51)+SUMIFS('Alle ruter'!$AL$3:$AL$98,'Alle ruter'!$Z$3:$Z$98,"H2",'Alle ruter'!$AJ$3:$AJ$98,"&gt;"&amp;F$32,'Alle ruter'!$AH$3:$AH$98,'Energi per fylke'!$A51))/1000000</f>
        <v>0.74096880000000009</v>
      </c>
      <c r="G51" s="4">
        <f>(SUMIFS('Alle ruter'!$AL$3:$AL$98,'Alle ruter'!$Z$3:$Z$98,"Batteri",'Alle ruter'!$AJ$3:$AJ$98,"&gt;"&amp;G$47,'Alle ruter'!$AH$3:$AH$98,'Energi per fylke'!$A51)+SUMIFS('Alle ruter'!$AL$3:$AL$98,'Alle ruter'!$Z$3:$Z$98,"H2",'Alle ruter'!$AJ$3:$AJ$98,"&gt;"&amp;G$32,'Alle ruter'!$AH$3:$AH$98,'Energi per fylke'!$A51))/1000000</f>
        <v>0.74096880000000009</v>
      </c>
      <c r="H51" s="4">
        <f>(SUMIFS('Alle ruter'!$AL$3:$AL$98,'Alle ruter'!$Z$3:$Z$98,"Batteri",'Alle ruter'!$AJ$3:$AJ$98,"&gt;"&amp;H$47,'Alle ruter'!$AH$3:$AH$98,'Energi per fylke'!$A51)+SUMIFS('Alle ruter'!$AL$3:$AL$98,'Alle ruter'!$Z$3:$Z$98,"H2",'Alle ruter'!$AJ$3:$AJ$98,"&gt;"&amp;H$32,'Alle ruter'!$AH$3:$AH$98,'Energi per fylke'!$A51))/1000000</f>
        <v>0.74096880000000009</v>
      </c>
      <c r="I51" s="4">
        <f>(SUMIFS('Alle ruter'!$AL$3:$AL$98,'Alle ruter'!$Z$3:$Z$98,"Batteri",'Alle ruter'!$AJ$3:$AJ$98,"&gt;"&amp;I$47,'Alle ruter'!$AH$3:$AH$98,'Energi per fylke'!$A51)+SUMIFS('Alle ruter'!$AL$3:$AL$98,'Alle ruter'!$Z$3:$Z$98,"H2",'Alle ruter'!$AJ$3:$AJ$98,"&gt;"&amp;I$32,'Alle ruter'!$AH$3:$AH$98,'Energi per fylke'!$A51))/1000000</f>
        <v>0.74096880000000009</v>
      </c>
      <c r="J51" s="4">
        <f>(SUMIFS('Alle ruter'!$AL$3:$AL$98,'Alle ruter'!$Z$3:$Z$98,"Batteri",'Alle ruter'!$AJ$3:$AJ$98,"&gt;"&amp;J$47,'Alle ruter'!$AH$3:$AH$98,'Energi per fylke'!$A51)+SUMIFS('Alle ruter'!$AL$3:$AL$98,'Alle ruter'!$Z$3:$Z$98,"H2",'Alle ruter'!$AJ$3:$AJ$98,"&gt;"&amp;J$32,'Alle ruter'!$AH$3:$AH$98,'Energi per fylke'!$A51))/1000000</f>
        <v>0.74096880000000009</v>
      </c>
      <c r="K51" s="4">
        <f>(SUMIFS('Alle ruter'!$AL$3:$AL$98,'Alle ruter'!$Z$3:$Z$98,"Batteri",'Alle ruter'!$AJ$3:$AJ$98,"&gt;"&amp;K$47,'Alle ruter'!$AH$3:$AH$98,'Energi per fylke'!$A51)+SUMIFS('Alle ruter'!$AL$3:$AL$98,'Alle ruter'!$Z$3:$Z$98,"H2",'Alle ruter'!$AJ$3:$AJ$98,"&gt;"&amp;K$32,'Alle ruter'!$AH$3:$AH$98,'Energi per fylke'!$A51))/1000000</f>
        <v>0.74096880000000009</v>
      </c>
      <c r="L51" s="4">
        <f>(SUMIFS('Alle ruter'!$AL$3:$AL$98,'Alle ruter'!$Z$3:$Z$98,"Batteri",'Alle ruter'!$AJ$3:$AJ$98,"&gt;"&amp;L$47,'Alle ruter'!$AH$3:$AH$98,'Energi per fylke'!$A51)+SUMIFS('Alle ruter'!$AL$3:$AL$98,'Alle ruter'!$Z$3:$Z$98,"H2",'Alle ruter'!$AJ$3:$AJ$98,"&gt;"&amp;L$32,'Alle ruter'!$AH$3:$AH$98,'Energi per fylke'!$A51))/1000000</f>
        <v>0</v>
      </c>
      <c r="M51" s="4">
        <f>(SUMIFS('Alle ruter'!$AL$3:$AL$98,'Alle ruter'!$Z$3:$Z$98,"Batteri",'Alle ruter'!$AJ$3:$AJ$98,"&gt;"&amp;M$47,'Alle ruter'!$AH$3:$AH$98,'Energi per fylke'!$A51)+SUMIFS('Alle ruter'!$AL$3:$AL$98,'Alle ruter'!$Z$3:$Z$98,"H2",'Alle ruter'!$AJ$3:$AJ$98,"&gt;"&amp;M$32,'Alle ruter'!$AH$3:$AH$98,'Energi per fylke'!$A51))/1000000</f>
        <v>0</v>
      </c>
      <c r="N51" s="4">
        <f>(SUMIFS('Alle ruter'!$AL$3:$AL$98,'Alle ruter'!$Z$3:$Z$98,"Batteri",'Alle ruter'!$AJ$3:$AJ$98,"&gt;"&amp;N$47,'Alle ruter'!$AH$3:$AH$98,'Energi per fylke'!$A51)+SUMIFS('Alle ruter'!$AL$3:$AL$98,'Alle ruter'!$Z$3:$Z$98,"H2",'Alle ruter'!$AJ$3:$AJ$98,"&gt;"&amp;N$32,'Alle ruter'!$AH$3:$AH$98,'Energi per fylke'!$A51))/1000000</f>
        <v>0</v>
      </c>
      <c r="O51" s="4">
        <f>(SUMIFS('Alle ruter'!$AL$3:$AL$98,'Alle ruter'!$Z$3:$Z$98,"Batteri",'Alle ruter'!$AJ$3:$AJ$98,"&gt;"&amp;O$47,'Alle ruter'!$AH$3:$AH$98,'Energi per fylke'!$A51)+SUMIFS('Alle ruter'!$AL$3:$AL$98,'Alle ruter'!$Z$3:$Z$98,"H2",'Alle ruter'!$AJ$3:$AJ$98,"&gt;"&amp;O$32,'Alle ruter'!$AH$3:$AH$98,'Energi per fylke'!$A51))/1000000</f>
        <v>0</v>
      </c>
      <c r="P51" s="4">
        <f>(SUMIFS('Alle ruter'!$AL$3:$AL$98,'Alle ruter'!$Z$3:$Z$98,"Batteri",'Alle ruter'!$AJ$3:$AJ$98,"&gt;"&amp;P$47,'Alle ruter'!$AH$3:$AH$98,'Energi per fylke'!$A51)+SUMIFS('Alle ruter'!$AL$3:$AL$98,'Alle ruter'!$Z$3:$Z$98,"H2",'Alle ruter'!$AJ$3:$AJ$98,"&gt;"&amp;P$32,'Alle ruter'!$AH$3:$AH$98,'Energi per fylke'!$A51))/1000000</f>
        <v>0</v>
      </c>
    </row>
    <row r="52" spans="1:16" x14ac:dyDescent="0.3">
      <c r="A52" t="s">
        <v>389</v>
      </c>
      <c r="B52" s="4">
        <f>(SUMIFS('Alle ruter'!$AL$3:$AL$98,'Alle ruter'!$Z$3:$Z$98,"Batteri",'Alle ruter'!$AH$3:$AH$98,'Energi per fylke'!$A52)+SUMIFS('Alle ruter'!$AL$3:$AL$98,'Alle ruter'!$Z$3:$Z$98,"H2",'Alle ruter'!$AH$3:$AH$98,'Energi per fylke'!$A52))/1000000</f>
        <v>8.3412784000000002</v>
      </c>
      <c r="C52" s="4">
        <f>(SUMIFS('Alle ruter'!$AL$3:$AL$98,'Alle ruter'!$Z$3:$Z$98,"Batteri",'Alle ruter'!$AJ$3:$AJ$98,"&gt;"&amp;C$47,'Alle ruter'!$AH$3:$AH$98,'Energi per fylke'!$A52)+SUMIFS('Alle ruter'!$AL$3:$AL$98,'Alle ruter'!$Z$3:$Z$98,"H2",'Alle ruter'!$AJ$3:$AJ$98,"&gt;"&amp;C$32,'Alle ruter'!$AH$3:$AH$98,'Energi per fylke'!$A52))/1000000</f>
        <v>7.7692783999999984</v>
      </c>
      <c r="D52" s="4">
        <f>(SUMIFS('Alle ruter'!$AL$3:$AL$98,'Alle ruter'!$Z$3:$Z$98,"Batteri",'Alle ruter'!$AJ$3:$AJ$98,"&gt;"&amp;D$47,'Alle ruter'!$AH$3:$AH$98,'Energi per fylke'!$A52)+SUMIFS('Alle ruter'!$AL$3:$AL$98,'Alle ruter'!$Z$3:$Z$98,"H2",'Alle ruter'!$AJ$3:$AJ$98,"&gt;"&amp;D$32,'Alle ruter'!$AH$3:$AH$98,'Energi per fylke'!$A52))/1000000</f>
        <v>7.7692783999999984</v>
      </c>
      <c r="E52" s="4">
        <f>(SUMIFS('Alle ruter'!$AL$3:$AL$98,'Alle ruter'!$Z$3:$Z$98,"Batteri",'Alle ruter'!$AJ$3:$AJ$98,"&gt;"&amp;E$47,'Alle ruter'!$AH$3:$AH$98,'Energi per fylke'!$A52)+SUMIFS('Alle ruter'!$AL$3:$AL$98,'Alle ruter'!$Z$3:$Z$98,"H2",'Alle ruter'!$AJ$3:$AJ$98,"&gt;"&amp;E$32,'Alle ruter'!$AH$3:$AH$98,'Energi per fylke'!$A52))/1000000</f>
        <v>7.7692783999999984</v>
      </c>
      <c r="F52" s="4">
        <f>(SUMIFS('Alle ruter'!$AL$3:$AL$98,'Alle ruter'!$Z$3:$Z$98,"Batteri",'Alle ruter'!$AJ$3:$AJ$98,"&gt;"&amp;F$47,'Alle ruter'!$AH$3:$AH$98,'Energi per fylke'!$A52)+SUMIFS('Alle ruter'!$AL$3:$AL$98,'Alle ruter'!$Z$3:$Z$98,"H2",'Alle ruter'!$AJ$3:$AJ$98,"&gt;"&amp;F$32,'Alle ruter'!$AH$3:$AH$98,'Energi per fylke'!$A52))/1000000</f>
        <v>3.8077481000000004</v>
      </c>
      <c r="G52" s="4">
        <f>(SUMIFS('Alle ruter'!$AL$3:$AL$98,'Alle ruter'!$Z$3:$Z$98,"Batteri",'Alle ruter'!$AJ$3:$AJ$98,"&gt;"&amp;G$47,'Alle ruter'!$AH$3:$AH$98,'Energi per fylke'!$A52)+SUMIFS('Alle ruter'!$AL$3:$AL$98,'Alle ruter'!$Z$3:$Z$98,"H2",'Alle ruter'!$AJ$3:$AJ$98,"&gt;"&amp;G$32,'Alle ruter'!$AH$3:$AH$98,'Energi per fylke'!$A52))/1000000</f>
        <v>3.8077481000000004</v>
      </c>
      <c r="H52" s="4">
        <f>(SUMIFS('Alle ruter'!$AL$3:$AL$98,'Alle ruter'!$Z$3:$Z$98,"Batteri",'Alle ruter'!$AJ$3:$AJ$98,"&gt;"&amp;H$47,'Alle ruter'!$AH$3:$AH$98,'Energi per fylke'!$A52)+SUMIFS('Alle ruter'!$AL$3:$AL$98,'Alle ruter'!$Z$3:$Z$98,"H2",'Alle ruter'!$AJ$3:$AJ$98,"&gt;"&amp;H$32,'Alle ruter'!$AH$3:$AH$98,'Energi per fylke'!$A52))/1000000</f>
        <v>3.8077481000000004</v>
      </c>
      <c r="I52" s="4">
        <f>(SUMIFS('Alle ruter'!$AL$3:$AL$98,'Alle ruter'!$Z$3:$Z$98,"Batteri",'Alle ruter'!$AJ$3:$AJ$98,"&gt;"&amp;I$47,'Alle ruter'!$AH$3:$AH$98,'Energi per fylke'!$A52)+SUMIFS('Alle ruter'!$AL$3:$AL$98,'Alle ruter'!$Z$3:$Z$98,"H2",'Alle ruter'!$AJ$3:$AJ$98,"&gt;"&amp;I$32,'Alle ruter'!$AH$3:$AH$98,'Energi per fylke'!$A52))/1000000</f>
        <v>3.8077481000000004</v>
      </c>
      <c r="J52" s="4">
        <f>(SUMIFS('Alle ruter'!$AL$3:$AL$98,'Alle ruter'!$Z$3:$Z$98,"Batteri",'Alle ruter'!$AJ$3:$AJ$98,"&gt;"&amp;J$47,'Alle ruter'!$AH$3:$AH$98,'Energi per fylke'!$A52)+SUMIFS('Alle ruter'!$AL$3:$AL$98,'Alle ruter'!$Z$3:$Z$98,"H2",'Alle ruter'!$AJ$3:$AJ$98,"&gt;"&amp;J$32,'Alle ruter'!$AH$3:$AH$98,'Energi per fylke'!$A52))/1000000</f>
        <v>3.3614165000000003</v>
      </c>
      <c r="K52" s="4">
        <f>(SUMIFS('Alle ruter'!$AL$3:$AL$98,'Alle ruter'!$Z$3:$Z$98,"Batteri",'Alle ruter'!$AJ$3:$AJ$98,"&gt;"&amp;K$47,'Alle ruter'!$AH$3:$AH$98,'Energi per fylke'!$A52)+SUMIFS('Alle ruter'!$AL$3:$AL$98,'Alle ruter'!$Z$3:$Z$98,"H2",'Alle ruter'!$AJ$3:$AJ$98,"&gt;"&amp;K$32,'Alle ruter'!$AH$3:$AH$98,'Energi per fylke'!$A52))/1000000</f>
        <v>3.0029655500000003</v>
      </c>
      <c r="L52" s="4">
        <f>(SUMIFS('Alle ruter'!$AL$3:$AL$98,'Alle ruter'!$Z$3:$Z$98,"Batteri",'Alle ruter'!$AJ$3:$AJ$98,"&gt;"&amp;L$47,'Alle ruter'!$AH$3:$AH$98,'Energi per fylke'!$A52)+SUMIFS('Alle ruter'!$AL$3:$AL$98,'Alle ruter'!$Z$3:$Z$98,"H2",'Alle ruter'!$AJ$3:$AJ$98,"&gt;"&amp;L$32,'Alle ruter'!$AH$3:$AH$98,'Energi per fylke'!$A52))/1000000</f>
        <v>3.0029655500000003</v>
      </c>
      <c r="M52" s="4">
        <f>(SUMIFS('Alle ruter'!$AL$3:$AL$98,'Alle ruter'!$Z$3:$Z$98,"Batteri",'Alle ruter'!$AJ$3:$AJ$98,"&gt;"&amp;M$47,'Alle ruter'!$AH$3:$AH$98,'Energi per fylke'!$A52)+SUMIFS('Alle ruter'!$AL$3:$AL$98,'Alle ruter'!$Z$3:$Z$98,"H2",'Alle ruter'!$AJ$3:$AJ$98,"&gt;"&amp;M$32,'Alle ruter'!$AH$3:$AH$98,'Energi per fylke'!$A52))/1000000</f>
        <v>3.0029655500000003</v>
      </c>
      <c r="N52" s="4">
        <f>(SUMIFS('Alle ruter'!$AL$3:$AL$98,'Alle ruter'!$Z$3:$Z$98,"Batteri",'Alle ruter'!$AJ$3:$AJ$98,"&gt;"&amp;N$47,'Alle ruter'!$AH$3:$AH$98,'Energi per fylke'!$A52)+SUMIFS('Alle ruter'!$AL$3:$AL$98,'Alle ruter'!$Z$3:$Z$98,"H2",'Alle ruter'!$AJ$3:$AJ$98,"&gt;"&amp;N$32,'Alle ruter'!$AH$3:$AH$98,'Energi per fylke'!$A52))/1000000</f>
        <v>2.4997485500000001</v>
      </c>
      <c r="O52" s="4">
        <f>(SUMIFS('Alle ruter'!$AL$3:$AL$98,'Alle ruter'!$Z$3:$Z$98,"Batteri",'Alle ruter'!$AJ$3:$AJ$98,"&gt;"&amp;O$47,'Alle ruter'!$AH$3:$AH$98,'Energi per fylke'!$A52)+SUMIFS('Alle ruter'!$AL$3:$AL$98,'Alle ruter'!$Z$3:$Z$98,"H2",'Alle ruter'!$AJ$3:$AJ$98,"&gt;"&amp;O$32,'Alle ruter'!$AH$3:$AH$98,'Energi per fylke'!$A52))/1000000</f>
        <v>2.4997485500000001</v>
      </c>
      <c r="P52" s="4">
        <f>(SUMIFS('Alle ruter'!$AL$3:$AL$98,'Alle ruter'!$Z$3:$Z$98,"Batteri",'Alle ruter'!$AJ$3:$AJ$98,"&gt;"&amp;P$47,'Alle ruter'!$AH$3:$AH$98,'Energi per fylke'!$A52)+SUMIFS('Alle ruter'!$AL$3:$AL$98,'Alle ruter'!$Z$3:$Z$98,"H2",'Alle ruter'!$AJ$3:$AJ$98,"&gt;"&amp;P$32,'Alle ruter'!$AH$3:$AH$98,'Energi per fylke'!$A52))/1000000</f>
        <v>0</v>
      </c>
    </row>
    <row r="53" spans="1:16" x14ac:dyDescent="0.3">
      <c r="A53" t="s">
        <v>19</v>
      </c>
      <c r="B53" s="4">
        <f>(SUMIFS('Alle ruter'!$AL$3:$AL$98,'Alle ruter'!$Z$3:$Z$98,"Batteri",'Alle ruter'!$AH$3:$AH$98,'Energi per fylke'!$A53)+SUMIFS('Alle ruter'!$AL$3:$AL$98,'Alle ruter'!$Z$3:$Z$98,"H2",'Alle ruter'!$AH$3:$AH$98,'Energi per fylke'!$A53))/1000000</f>
        <v>7.4879558999999993</v>
      </c>
      <c r="C53" s="4">
        <f>(SUMIFS('Alle ruter'!$AL$3:$AL$98,'Alle ruter'!$Z$3:$Z$98,"Batteri",'Alle ruter'!$AJ$3:$AJ$98,"&gt;"&amp;C$47,'Alle ruter'!$AH$3:$AH$98,'Energi per fylke'!$A53)+SUMIFS('Alle ruter'!$AL$3:$AL$98,'Alle ruter'!$Z$3:$Z$98,"H2",'Alle ruter'!$AJ$3:$AJ$98,"&gt;"&amp;C$32,'Alle ruter'!$AH$3:$AH$98,'Energi per fylke'!$A53))/1000000</f>
        <v>7.4879558999999993</v>
      </c>
      <c r="D53" s="4">
        <f>(SUMIFS('Alle ruter'!$AL$3:$AL$98,'Alle ruter'!$Z$3:$Z$98,"Batteri",'Alle ruter'!$AJ$3:$AJ$98,"&gt;"&amp;D$47,'Alle ruter'!$AH$3:$AH$98,'Energi per fylke'!$A53)+SUMIFS('Alle ruter'!$AL$3:$AL$98,'Alle ruter'!$Z$3:$Z$98,"H2",'Alle ruter'!$AJ$3:$AJ$98,"&gt;"&amp;D$32,'Alle ruter'!$AH$3:$AH$98,'Energi per fylke'!$A53))/1000000</f>
        <v>0.50759279999999996</v>
      </c>
      <c r="E53" s="4">
        <f>(SUMIFS('Alle ruter'!$AL$3:$AL$98,'Alle ruter'!$Z$3:$Z$98,"Batteri",'Alle ruter'!$AJ$3:$AJ$98,"&gt;"&amp;E$47,'Alle ruter'!$AH$3:$AH$98,'Energi per fylke'!$A53)+SUMIFS('Alle ruter'!$AL$3:$AL$98,'Alle ruter'!$Z$3:$Z$98,"H2",'Alle ruter'!$AJ$3:$AJ$98,"&gt;"&amp;E$32,'Alle ruter'!$AH$3:$AH$98,'Energi per fylke'!$A53))/1000000</f>
        <v>0.50759279999999996</v>
      </c>
      <c r="F53" s="4">
        <f>(SUMIFS('Alle ruter'!$AL$3:$AL$98,'Alle ruter'!$Z$3:$Z$98,"Batteri",'Alle ruter'!$AJ$3:$AJ$98,"&gt;"&amp;F$47,'Alle ruter'!$AH$3:$AH$98,'Energi per fylke'!$A53)+SUMIFS('Alle ruter'!$AL$3:$AL$98,'Alle ruter'!$Z$3:$Z$98,"H2",'Alle ruter'!$AJ$3:$AJ$98,"&gt;"&amp;F$32,'Alle ruter'!$AH$3:$AH$98,'Energi per fylke'!$A53))/1000000</f>
        <v>0.50759279999999996</v>
      </c>
      <c r="G53" s="4">
        <f>(SUMIFS('Alle ruter'!$AL$3:$AL$98,'Alle ruter'!$Z$3:$Z$98,"Batteri",'Alle ruter'!$AJ$3:$AJ$98,"&gt;"&amp;G$47,'Alle ruter'!$AH$3:$AH$98,'Energi per fylke'!$A53)+SUMIFS('Alle ruter'!$AL$3:$AL$98,'Alle ruter'!$Z$3:$Z$98,"H2",'Alle ruter'!$AJ$3:$AJ$98,"&gt;"&amp;G$32,'Alle ruter'!$AH$3:$AH$98,'Energi per fylke'!$A53))/1000000</f>
        <v>0.50759279999999996</v>
      </c>
      <c r="H53" s="4">
        <f>(SUMIFS('Alle ruter'!$AL$3:$AL$98,'Alle ruter'!$Z$3:$Z$98,"Batteri",'Alle ruter'!$AJ$3:$AJ$98,"&gt;"&amp;H$47,'Alle ruter'!$AH$3:$AH$98,'Energi per fylke'!$A53)+SUMIFS('Alle ruter'!$AL$3:$AL$98,'Alle ruter'!$Z$3:$Z$98,"H2",'Alle ruter'!$AJ$3:$AJ$98,"&gt;"&amp;H$32,'Alle ruter'!$AH$3:$AH$98,'Energi per fylke'!$A53))/1000000</f>
        <v>0.50759279999999996</v>
      </c>
      <c r="I53" s="4">
        <f>(SUMIFS('Alle ruter'!$AL$3:$AL$98,'Alle ruter'!$Z$3:$Z$98,"Batteri",'Alle ruter'!$AJ$3:$AJ$98,"&gt;"&amp;I$47,'Alle ruter'!$AH$3:$AH$98,'Energi per fylke'!$A53)+SUMIFS('Alle ruter'!$AL$3:$AL$98,'Alle ruter'!$Z$3:$Z$98,"H2",'Alle ruter'!$AJ$3:$AJ$98,"&gt;"&amp;I$32,'Alle ruter'!$AH$3:$AH$98,'Energi per fylke'!$A53))/1000000</f>
        <v>0.50759279999999996</v>
      </c>
      <c r="J53" s="4">
        <f>(SUMIFS('Alle ruter'!$AL$3:$AL$98,'Alle ruter'!$Z$3:$Z$98,"Batteri",'Alle ruter'!$AJ$3:$AJ$98,"&gt;"&amp;J$47,'Alle ruter'!$AH$3:$AH$98,'Energi per fylke'!$A53)+SUMIFS('Alle ruter'!$AL$3:$AL$98,'Alle ruter'!$Z$3:$Z$98,"H2",'Alle ruter'!$AJ$3:$AJ$98,"&gt;"&amp;J$32,'Alle ruter'!$AH$3:$AH$98,'Energi per fylke'!$A53))/1000000</f>
        <v>0.50759279999999996</v>
      </c>
      <c r="K53" s="4">
        <f>(SUMIFS('Alle ruter'!$AL$3:$AL$98,'Alle ruter'!$Z$3:$Z$98,"Batteri",'Alle ruter'!$AJ$3:$AJ$98,"&gt;"&amp;K$47,'Alle ruter'!$AH$3:$AH$98,'Energi per fylke'!$A53)+SUMIFS('Alle ruter'!$AL$3:$AL$98,'Alle ruter'!$Z$3:$Z$98,"H2",'Alle ruter'!$AJ$3:$AJ$98,"&gt;"&amp;K$32,'Alle ruter'!$AH$3:$AH$98,'Energi per fylke'!$A53))/1000000</f>
        <v>0</v>
      </c>
      <c r="L53" s="4">
        <f>(SUMIFS('Alle ruter'!$AL$3:$AL$98,'Alle ruter'!$Z$3:$Z$98,"Batteri",'Alle ruter'!$AJ$3:$AJ$98,"&gt;"&amp;L$47,'Alle ruter'!$AH$3:$AH$98,'Energi per fylke'!$A53)+SUMIFS('Alle ruter'!$AL$3:$AL$98,'Alle ruter'!$Z$3:$Z$98,"H2",'Alle ruter'!$AJ$3:$AJ$98,"&gt;"&amp;L$32,'Alle ruter'!$AH$3:$AH$98,'Energi per fylke'!$A53))/1000000</f>
        <v>0</v>
      </c>
      <c r="M53" s="4">
        <f>(SUMIFS('Alle ruter'!$AL$3:$AL$98,'Alle ruter'!$Z$3:$Z$98,"Batteri",'Alle ruter'!$AJ$3:$AJ$98,"&gt;"&amp;M$47,'Alle ruter'!$AH$3:$AH$98,'Energi per fylke'!$A53)+SUMIFS('Alle ruter'!$AL$3:$AL$98,'Alle ruter'!$Z$3:$Z$98,"H2",'Alle ruter'!$AJ$3:$AJ$98,"&gt;"&amp;M$32,'Alle ruter'!$AH$3:$AH$98,'Energi per fylke'!$A53))/1000000</f>
        <v>0</v>
      </c>
      <c r="N53" s="4">
        <f>(SUMIFS('Alle ruter'!$AL$3:$AL$98,'Alle ruter'!$Z$3:$Z$98,"Batteri",'Alle ruter'!$AJ$3:$AJ$98,"&gt;"&amp;N$47,'Alle ruter'!$AH$3:$AH$98,'Energi per fylke'!$A53)+SUMIFS('Alle ruter'!$AL$3:$AL$98,'Alle ruter'!$Z$3:$Z$98,"H2",'Alle ruter'!$AJ$3:$AJ$98,"&gt;"&amp;N$32,'Alle ruter'!$AH$3:$AH$98,'Energi per fylke'!$A53))/1000000</f>
        <v>0</v>
      </c>
      <c r="O53" s="4">
        <f>(SUMIFS('Alle ruter'!$AL$3:$AL$98,'Alle ruter'!$Z$3:$Z$98,"Batteri",'Alle ruter'!$AJ$3:$AJ$98,"&gt;"&amp;O$47,'Alle ruter'!$AH$3:$AH$98,'Energi per fylke'!$A53)+SUMIFS('Alle ruter'!$AL$3:$AL$98,'Alle ruter'!$Z$3:$Z$98,"H2",'Alle ruter'!$AJ$3:$AJ$98,"&gt;"&amp;O$32,'Alle ruter'!$AH$3:$AH$98,'Energi per fylke'!$A53))/1000000</f>
        <v>0</v>
      </c>
      <c r="P53" s="4">
        <f>(SUMIFS('Alle ruter'!$AL$3:$AL$98,'Alle ruter'!$Z$3:$Z$98,"Batteri",'Alle ruter'!$AJ$3:$AJ$98,"&gt;"&amp;P$47,'Alle ruter'!$AH$3:$AH$98,'Energi per fylke'!$A53)+SUMIFS('Alle ruter'!$AL$3:$AL$98,'Alle ruter'!$Z$3:$Z$98,"H2",'Alle ruter'!$AJ$3:$AJ$98,"&gt;"&amp;P$32,'Alle ruter'!$AH$3:$AH$98,'Energi per fylke'!$A53))/1000000</f>
        <v>0</v>
      </c>
    </row>
    <row r="54" spans="1:16" x14ac:dyDescent="0.3">
      <c r="A54" t="s">
        <v>8</v>
      </c>
      <c r="B54" s="4">
        <f>(SUMIFS('Alle ruter'!$AL$3:$AL$98,'Alle ruter'!$Z$3:$Z$98,"Batteri",'Alle ruter'!$AH$3:$AH$98,'Energi per fylke'!$A54)+SUMIFS('Alle ruter'!$AL$3:$AL$98,'Alle ruter'!$Z$3:$Z$98,"H2",'Alle ruter'!$AH$3:$AH$98,'Energi per fylke'!$A54))/1000000</f>
        <v>4.0612000000000004</v>
      </c>
      <c r="C54" s="4">
        <f>(SUMIFS('Alle ruter'!$AL$3:$AL$98,'Alle ruter'!$Z$3:$Z$98,"Batteri",'Alle ruter'!$AJ$3:$AJ$98,"&gt;"&amp;C$47,'Alle ruter'!$AH$3:$AH$98,'Energi per fylke'!$A54)+SUMIFS('Alle ruter'!$AL$3:$AL$98,'Alle ruter'!$Z$3:$Z$98,"H2",'Alle ruter'!$AJ$3:$AJ$98,"&gt;"&amp;C$32,'Alle ruter'!$AH$3:$AH$98,'Energi per fylke'!$A54))/1000000</f>
        <v>4.0612000000000004</v>
      </c>
      <c r="D54" s="4">
        <f>(SUMIFS('Alle ruter'!$AL$3:$AL$98,'Alle ruter'!$Z$3:$Z$98,"Batteri",'Alle ruter'!$AJ$3:$AJ$98,"&gt;"&amp;D$47,'Alle ruter'!$AH$3:$AH$98,'Energi per fylke'!$A54)+SUMIFS('Alle ruter'!$AL$3:$AL$98,'Alle ruter'!$Z$3:$Z$98,"H2",'Alle ruter'!$AJ$3:$AJ$98,"&gt;"&amp;D$32,'Alle ruter'!$AH$3:$AH$98,'Energi per fylke'!$A54))/1000000</f>
        <v>4.0612000000000004</v>
      </c>
      <c r="E54" s="4">
        <f>(SUMIFS('Alle ruter'!$AL$3:$AL$98,'Alle ruter'!$Z$3:$Z$98,"Batteri",'Alle ruter'!$AJ$3:$AJ$98,"&gt;"&amp;E$47,'Alle ruter'!$AH$3:$AH$98,'Energi per fylke'!$A54)+SUMIFS('Alle ruter'!$AL$3:$AL$98,'Alle ruter'!$Z$3:$Z$98,"H2",'Alle ruter'!$AJ$3:$AJ$98,"&gt;"&amp;E$32,'Alle ruter'!$AH$3:$AH$98,'Energi per fylke'!$A54))/1000000</f>
        <v>4.0612000000000004</v>
      </c>
      <c r="F54" s="4">
        <f>(SUMIFS('Alle ruter'!$AL$3:$AL$98,'Alle ruter'!$Z$3:$Z$98,"Batteri",'Alle ruter'!$AJ$3:$AJ$98,"&gt;"&amp;F$47,'Alle ruter'!$AH$3:$AH$98,'Energi per fylke'!$A54)+SUMIFS('Alle ruter'!$AL$3:$AL$98,'Alle ruter'!$Z$3:$Z$98,"H2",'Alle ruter'!$AJ$3:$AJ$98,"&gt;"&amp;F$32,'Alle ruter'!$AH$3:$AH$98,'Energi per fylke'!$A54))/1000000</f>
        <v>4.0612000000000004</v>
      </c>
      <c r="G54" s="4">
        <f>(SUMIFS('Alle ruter'!$AL$3:$AL$98,'Alle ruter'!$Z$3:$Z$98,"Batteri",'Alle ruter'!$AJ$3:$AJ$98,"&gt;"&amp;G$47,'Alle ruter'!$AH$3:$AH$98,'Energi per fylke'!$A54)+SUMIFS('Alle ruter'!$AL$3:$AL$98,'Alle ruter'!$Z$3:$Z$98,"H2",'Alle ruter'!$AJ$3:$AJ$98,"&gt;"&amp;G$32,'Alle ruter'!$AH$3:$AH$98,'Energi per fylke'!$A54))/1000000</f>
        <v>0</v>
      </c>
      <c r="H54" s="4">
        <f>(SUMIFS('Alle ruter'!$AL$3:$AL$98,'Alle ruter'!$Z$3:$Z$98,"Batteri",'Alle ruter'!$AJ$3:$AJ$98,"&gt;"&amp;H$47,'Alle ruter'!$AH$3:$AH$98,'Energi per fylke'!$A54)+SUMIFS('Alle ruter'!$AL$3:$AL$98,'Alle ruter'!$Z$3:$Z$98,"H2",'Alle ruter'!$AJ$3:$AJ$98,"&gt;"&amp;H$32,'Alle ruter'!$AH$3:$AH$98,'Energi per fylke'!$A54))/1000000</f>
        <v>0</v>
      </c>
      <c r="I54" s="4">
        <f>(SUMIFS('Alle ruter'!$AL$3:$AL$98,'Alle ruter'!$Z$3:$Z$98,"Batteri",'Alle ruter'!$AJ$3:$AJ$98,"&gt;"&amp;I$47,'Alle ruter'!$AH$3:$AH$98,'Energi per fylke'!$A54)+SUMIFS('Alle ruter'!$AL$3:$AL$98,'Alle ruter'!$Z$3:$Z$98,"H2",'Alle ruter'!$AJ$3:$AJ$98,"&gt;"&amp;I$32,'Alle ruter'!$AH$3:$AH$98,'Energi per fylke'!$A54))/1000000</f>
        <v>0</v>
      </c>
      <c r="J54" s="4">
        <f>(SUMIFS('Alle ruter'!$AL$3:$AL$98,'Alle ruter'!$Z$3:$Z$98,"Batteri",'Alle ruter'!$AJ$3:$AJ$98,"&gt;"&amp;J$47,'Alle ruter'!$AH$3:$AH$98,'Energi per fylke'!$A54)+SUMIFS('Alle ruter'!$AL$3:$AL$98,'Alle ruter'!$Z$3:$Z$98,"H2",'Alle ruter'!$AJ$3:$AJ$98,"&gt;"&amp;J$32,'Alle ruter'!$AH$3:$AH$98,'Energi per fylke'!$A54))/1000000</f>
        <v>0</v>
      </c>
      <c r="K54" s="4">
        <f>(SUMIFS('Alle ruter'!$AL$3:$AL$98,'Alle ruter'!$Z$3:$Z$98,"Batteri",'Alle ruter'!$AJ$3:$AJ$98,"&gt;"&amp;K$47,'Alle ruter'!$AH$3:$AH$98,'Energi per fylke'!$A54)+SUMIFS('Alle ruter'!$AL$3:$AL$98,'Alle ruter'!$Z$3:$Z$98,"H2",'Alle ruter'!$AJ$3:$AJ$98,"&gt;"&amp;K$32,'Alle ruter'!$AH$3:$AH$98,'Energi per fylke'!$A54))/1000000</f>
        <v>0</v>
      </c>
      <c r="L54" s="4">
        <f>(SUMIFS('Alle ruter'!$AL$3:$AL$98,'Alle ruter'!$Z$3:$Z$98,"Batteri",'Alle ruter'!$AJ$3:$AJ$98,"&gt;"&amp;L$47,'Alle ruter'!$AH$3:$AH$98,'Energi per fylke'!$A54)+SUMIFS('Alle ruter'!$AL$3:$AL$98,'Alle ruter'!$Z$3:$Z$98,"H2",'Alle ruter'!$AJ$3:$AJ$98,"&gt;"&amp;L$32,'Alle ruter'!$AH$3:$AH$98,'Energi per fylke'!$A54))/1000000</f>
        <v>0</v>
      </c>
      <c r="M54" s="4">
        <f>(SUMIFS('Alle ruter'!$AL$3:$AL$98,'Alle ruter'!$Z$3:$Z$98,"Batteri",'Alle ruter'!$AJ$3:$AJ$98,"&gt;"&amp;M$47,'Alle ruter'!$AH$3:$AH$98,'Energi per fylke'!$A54)+SUMIFS('Alle ruter'!$AL$3:$AL$98,'Alle ruter'!$Z$3:$Z$98,"H2",'Alle ruter'!$AJ$3:$AJ$98,"&gt;"&amp;M$32,'Alle ruter'!$AH$3:$AH$98,'Energi per fylke'!$A54))/1000000</f>
        <v>0</v>
      </c>
      <c r="N54" s="4">
        <f>(SUMIFS('Alle ruter'!$AL$3:$AL$98,'Alle ruter'!$Z$3:$Z$98,"Batteri",'Alle ruter'!$AJ$3:$AJ$98,"&gt;"&amp;N$47,'Alle ruter'!$AH$3:$AH$98,'Energi per fylke'!$A54)+SUMIFS('Alle ruter'!$AL$3:$AL$98,'Alle ruter'!$Z$3:$Z$98,"H2",'Alle ruter'!$AJ$3:$AJ$98,"&gt;"&amp;N$32,'Alle ruter'!$AH$3:$AH$98,'Energi per fylke'!$A54))/1000000</f>
        <v>0</v>
      </c>
      <c r="O54" s="4">
        <f>(SUMIFS('Alle ruter'!$AL$3:$AL$98,'Alle ruter'!$Z$3:$Z$98,"Batteri",'Alle ruter'!$AJ$3:$AJ$98,"&gt;"&amp;O$47,'Alle ruter'!$AH$3:$AH$98,'Energi per fylke'!$A54)+SUMIFS('Alle ruter'!$AL$3:$AL$98,'Alle ruter'!$Z$3:$Z$98,"H2",'Alle ruter'!$AJ$3:$AJ$98,"&gt;"&amp;O$32,'Alle ruter'!$AH$3:$AH$98,'Energi per fylke'!$A54))/1000000</f>
        <v>0</v>
      </c>
      <c r="P54" s="4">
        <f>(SUMIFS('Alle ruter'!$AL$3:$AL$98,'Alle ruter'!$Z$3:$Z$98,"Batteri",'Alle ruter'!$AJ$3:$AJ$98,"&gt;"&amp;P$47,'Alle ruter'!$AH$3:$AH$98,'Energi per fylke'!$A54)+SUMIFS('Alle ruter'!$AL$3:$AL$98,'Alle ruter'!$Z$3:$Z$98,"H2",'Alle ruter'!$AJ$3:$AJ$98,"&gt;"&amp;P$32,'Alle ruter'!$AH$3:$AH$98,'Energi per fylke'!$A54))/1000000</f>
        <v>0</v>
      </c>
    </row>
    <row r="55" spans="1:16" x14ac:dyDescent="0.3">
      <c r="A55" t="s">
        <v>6</v>
      </c>
      <c r="B55" s="4">
        <f>(SUMIFS('Alle ruter'!$AL$3:$AL$98,'Alle ruter'!$Z$3:$Z$98,"Batteri",'Alle ruter'!$AH$3:$AH$98,'Energi per fylke'!$A55)+SUMIFS('Alle ruter'!$AL$3:$AL$98,'Alle ruter'!$Z$3:$Z$98,"H2",'Alle ruter'!$AH$3:$AH$98,'Energi per fylke'!$A55))/1000000</f>
        <v>1.2283056000000001</v>
      </c>
      <c r="C55" s="4">
        <f>(SUMIFS('Alle ruter'!$AL$3:$AL$98,'Alle ruter'!$Z$3:$Z$98,"Batteri",'Alle ruter'!$AJ$3:$AJ$98,"&gt;"&amp;C$47,'Alle ruter'!$AH$3:$AH$98,'Energi per fylke'!$A55)+SUMIFS('Alle ruter'!$AL$3:$AL$98,'Alle ruter'!$Z$3:$Z$98,"H2",'Alle ruter'!$AJ$3:$AJ$98,"&gt;"&amp;C$32,'Alle ruter'!$AH$3:$AH$98,'Energi per fylke'!$A55))/1000000</f>
        <v>1.2283056000000001</v>
      </c>
      <c r="D55" s="4">
        <f>(SUMIFS('Alle ruter'!$AL$3:$AL$98,'Alle ruter'!$Z$3:$Z$98,"Batteri",'Alle ruter'!$AJ$3:$AJ$98,"&gt;"&amp;D$47,'Alle ruter'!$AH$3:$AH$98,'Energi per fylke'!$A55)+SUMIFS('Alle ruter'!$AL$3:$AL$98,'Alle ruter'!$Z$3:$Z$98,"H2",'Alle ruter'!$AJ$3:$AJ$98,"&gt;"&amp;D$32,'Alle ruter'!$AH$3:$AH$98,'Energi per fylke'!$A55))/1000000</f>
        <v>1.2283056000000001</v>
      </c>
      <c r="E55" s="4">
        <f>(SUMIFS('Alle ruter'!$AL$3:$AL$98,'Alle ruter'!$Z$3:$Z$98,"Batteri",'Alle ruter'!$AJ$3:$AJ$98,"&gt;"&amp;E$47,'Alle ruter'!$AH$3:$AH$98,'Energi per fylke'!$A55)+SUMIFS('Alle ruter'!$AL$3:$AL$98,'Alle ruter'!$Z$3:$Z$98,"H2",'Alle ruter'!$AJ$3:$AJ$98,"&gt;"&amp;E$32,'Alle ruter'!$AH$3:$AH$98,'Energi per fylke'!$A55))/1000000</f>
        <v>0</v>
      </c>
      <c r="F55" s="4">
        <f>(SUMIFS('Alle ruter'!$AL$3:$AL$98,'Alle ruter'!$Z$3:$Z$98,"Batteri",'Alle ruter'!$AJ$3:$AJ$98,"&gt;"&amp;F$47,'Alle ruter'!$AH$3:$AH$98,'Energi per fylke'!$A55)+SUMIFS('Alle ruter'!$AL$3:$AL$98,'Alle ruter'!$Z$3:$Z$98,"H2",'Alle ruter'!$AJ$3:$AJ$98,"&gt;"&amp;F$32,'Alle ruter'!$AH$3:$AH$98,'Energi per fylke'!$A55))/1000000</f>
        <v>0</v>
      </c>
      <c r="G55" s="4">
        <f>(SUMIFS('Alle ruter'!$AL$3:$AL$98,'Alle ruter'!$Z$3:$Z$98,"Batteri",'Alle ruter'!$AJ$3:$AJ$98,"&gt;"&amp;G$47,'Alle ruter'!$AH$3:$AH$98,'Energi per fylke'!$A55)+SUMIFS('Alle ruter'!$AL$3:$AL$98,'Alle ruter'!$Z$3:$Z$98,"H2",'Alle ruter'!$AJ$3:$AJ$98,"&gt;"&amp;G$32,'Alle ruter'!$AH$3:$AH$98,'Energi per fylke'!$A55))/1000000</f>
        <v>0</v>
      </c>
      <c r="H55" s="4">
        <f>(SUMIFS('Alle ruter'!$AL$3:$AL$98,'Alle ruter'!$Z$3:$Z$98,"Batteri",'Alle ruter'!$AJ$3:$AJ$98,"&gt;"&amp;H$47,'Alle ruter'!$AH$3:$AH$98,'Energi per fylke'!$A55)+SUMIFS('Alle ruter'!$AL$3:$AL$98,'Alle ruter'!$Z$3:$Z$98,"H2",'Alle ruter'!$AJ$3:$AJ$98,"&gt;"&amp;H$32,'Alle ruter'!$AH$3:$AH$98,'Energi per fylke'!$A55))/1000000</f>
        <v>0</v>
      </c>
      <c r="I55" s="4">
        <f>(SUMIFS('Alle ruter'!$AL$3:$AL$98,'Alle ruter'!$Z$3:$Z$98,"Batteri",'Alle ruter'!$AJ$3:$AJ$98,"&gt;"&amp;I$47,'Alle ruter'!$AH$3:$AH$98,'Energi per fylke'!$A55)+SUMIFS('Alle ruter'!$AL$3:$AL$98,'Alle ruter'!$Z$3:$Z$98,"H2",'Alle ruter'!$AJ$3:$AJ$98,"&gt;"&amp;I$32,'Alle ruter'!$AH$3:$AH$98,'Energi per fylke'!$A55))/1000000</f>
        <v>0</v>
      </c>
      <c r="J55" s="4">
        <f>(SUMIFS('Alle ruter'!$AL$3:$AL$98,'Alle ruter'!$Z$3:$Z$98,"Batteri",'Alle ruter'!$AJ$3:$AJ$98,"&gt;"&amp;J$47,'Alle ruter'!$AH$3:$AH$98,'Energi per fylke'!$A55)+SUMIFS('Alle ruter'!$AL$3:$AL$98,'Alle ruter'!$Z$3:$Z$98,"H2",'Alle ruter'!$AJ$3:$AJ$98,"&gt;"&amp;J$32,'Alle ruter'!$AH$3:$AH$98,'Energi per fylke'!$A55))/1000000</f>
        <v>0</v>
      </c>
      <c r="K55" s="4">
        <f>(SUMIFS('Alle ruter'!$AL$3:$AL$98,'Alle ruter'!$Z$3:$Z$98,"Batteri",'Alle ruter'!$AJ$3:$AJ$98,"&gt;"&amp;K$47,'Alle ruter'!$AH$3:$AH$98,'Energi per fylke'!$A55)+SUMIFS('Alle ruter'!$AL$3:$AL$98,'Alle ruter'!$Z$3:$Z$98,"H2",'Alle ruter'!$AJ$3:$AJ$98,"&gt;"&amp;K$32,'Alle ruter'!$AH$3:$AH$98,'Energi per fylke'!$A55))/1000000</f>
        <v>0</v>
      </c>
      <c r="L55" s="4">
        <f>(SUMIFS('Alle ruter'!$AL$3:$AL$98,'Alle ruter'!$Z$3:$Z$98,"Batteri",'Alle ruter'!$AJ$3:$AJ$98,"&gt;"&amp;L$47,'Alle ruter'!$AH$3:$AH$98,'Energi per fylke'!$A55)+SUMIFS('Alle ruter'!$AL$3:$AL$98,'Alle ruter'!$Z$3:$Z$98,"H2",'Alle ruter'!$AJ$3:$AJ$98,"&gt;"&amp;L$32,'Alle ruter'!$AH$3:$AH$98,'Energi per fylke'!$A55))/1000000</f>
        <v>0</v>
      </c>
      <c r="M55" s="4">
        <f>(SUMIFS('Alle ruter'!$AL$3:$AL$98,'Alle ruter'!$Z$3:$Z$98,"Batteri",'Alle ruter'!$AJ$3:$AJ$98,"&gt;"&amp;M$47,'Alle ruter'!$AH$3:$AH$98,'Energi per fylke'!$A55)+SUMIFS('Alle ruter'!$AL$3:$AL$98,'Alle ruter'!$Z$3:$Z$98,"H2",'Alle ruter'!$AJ$3:$AJ$98,"&gt;"&amp;M$32,'Alle ruter'!$AH$3:$AH$98,'Energi per fylke'!$A55))/1000000</f>
        <v>0</v>
      </c>
      <c r="N55" s="4">
        <f>(SUMIFS('Alle ruter'!$AL$3:$AL$98,'Alle ruter'!$Z$3:$Z$98,"Batteri",'Alle ruter'!$AJ$3:$AJ$98,"&gt;"&amp;N$47,'Alle ruter'!$AH$3:$AH$98,'Energi per fylke'!$A55)+SUMIFS('Alle ruter'!$AL$3:$AL$98,'Alle ruter'!$Z$3:$Z$98,"H2",'Alle ruter'!$AJ$3:$AJ$98,"&gt;"&amp;N$32,'Alle ruter'!$AH$3:$AH$98,'Energi per fylke'!$A55))/1000000</f>
        <v>0</v>
      </c>
      <c r="O55" s="4">
        <f>(SUMIFS('Alle ruter'!$AL$3:$AL$98,'Alle ruter'!$Z$3:$Z$98,"Batteri",'Alle ruter'!$AJ$3:$AJ$98,"&gt;"&amp;O$47,'Alle ruter'!$AH$3:$AH$98,'Energi per fylke'!$A55)+SUMIFS('Alle ruter'!$AL$3:$AL$98,'Alle ruter'!$Z$3:$Z$98,"H2",'Alle ruter'!$AJ$3:$AJ$98,"&gt;"&amp;O$32,'Alle ruter'!$AH$3:$AH$98,'Energi per fylke'!$A55))/1000000</f>
        <v>0</v>
      </c>
      <c r="P55" s="4">
        <f>(SUMIFS('Alle ruter'!$AL$3:$AL$98,'Alle ruter'!$Z$3:$Z$98,"Batteri",'Alle ruter'!$AJ$3:$AJ$98,"&gt;"&amp;P$47,'Alle ruter'!$AH$3:$AH$98,'Energi per fylke'!$A55)+SUMIFS('Alle ruter'!$AL$3:$AL$98,'Alle ruter'!$Z$3:$Z$98,"H2",'Alle ruter'!$AJ$3:$AJ$98,"&gt;"&amp;P$32,'Alle ruter'!$AH$3:$AH$98,'Energi per fylke'!$A55))/1000000</f>
        <v>0</v>
      </c>
    </row>
    <row r="56" spans="1:16" x14ac:dyDescent="0.3">
      <c r="A56" t="s">
        <v>390</v>
      </c>
      <c r="B56" s="4">
        <f>(SUMIFS('Alle ruter'!$AL$3:$AL$98,'Alle ruter'!$Z$3:$Z$98,"Batteri",'Alle ruter'!$AH$3:$AH$98,'Energi per fylke'!$A56)+SUMIFS('Alle ruter'!$AL$3:$AL$98,'Alle ruter'!$Z$3:$Z$98,"H2",'Alle ruter'!$AH$3:$AH$98,'Energi per fylke'!$A56))/1000000</f>
        <v>0.3216213</v>
      </c>
      <c r="C56" s="4">
        <f>(SUMIFS('Alle ruter'!$AL$3:$AL$98,'Alle ruter'!$Z$3:$Z$98,"Batteri",'Alle ruter'!$AJ$3:$AJ$98,"&gt;"&amp;C$47,'Alle ruter'!$AH$3:$AH$98,'Energi per fylke'!$A56)+SUMIFS('Alle ruter'!$AL$3:$AL$98,'Alle ruter'!$Z$3:$Z$98,"H2",'Alle ruter'!$AJ$3:$AJ$98,"&gt;"&amp;C$32,'Alle ruter'!$AH$3:$AH$98,'Energi per fylke'!$A56))/1000000</f>
        <v>0.3216213</v>
      </c>
      <c r="D56" s="4">
        <f>(SUMIFS('Alle ruter'!$AL$3:$AL$98,'Alle ruter'!$Z$3:$Z$98,"Batteri",'Alle ruter'!$AJ$3:$AJ$98,"&gt;"&amp;D$47,'Alle ruter'!$AH$3:$AH$98,'Energi per fylke'!$A56)+SUMIFS('Alle ruter'!$AL$3:$AL$98,'Alle ruter'!$Z$3:$Z$98,"H2",'Alle ruter'!$AJ$3:$AJ$98,"&gt;"&amp;D$32,'Alle ruter'!$AH$3:$AH$98,'Energi per fylke'!$A56))/1000000</f>
        <v>0.3216213</v>
      </c>
      <c r="E56" s="4">
        <f>(SUMIFS('Alle ruter'!$AL$3:$AL$98,'Alle ruter'!$Z$3:$Z$98,"Batteri",'Alle ruter'!$AJ$3:$AJ$98,"&gt;"&amp;E$47,'Alle ruter'!$AH$3:$AH$98,'Energi per fylke'!$A56)+SUMIFS('Alle ruter'!$AL$3:$AL$98,'Alle ruter'!$Z$3:$Z$98,"H2",'Alle ruter'!$AJ$3:$AJ$98,"&gt;"&amp;E$32,'Alle ruter'!$AH$3:$AH$98,'Energi per fylke'!$A56))/1000000</f>
        <v>0.3216213</v>
      </c>
      <c r="F56" s="4">
        <f>(SUMIFS('Alle ruter'!$AL$3:$AL$98,'Alle ruter'!$Z$3:$Z$98,"Batteri",'Alle ruter'!$AJ$3:$AJ$98,"&gt;"&amp;F$47,'Alle ruter'!$AH$3:$AH$98,'Energi per fylke'!$A56)+SUMIFS('Alle ruter'!$AL$3:$AL$98,'Alle ruter'!$Z$3:$Z$98,"H2",'Alle ruter'!$AJ$3:$AJ$98,"&gt;"&amp;F$32,'Alle ruter'!$AH$3:$AH$98,'Energi per fylke'!$A56))/1000000</f>
        <v>0.3216213</v>
      </c>
      <c r="G56" s="4">
        <f>(SUMIFS('Alle ruter'!$AL$3:$AL$98,'Alle ruter'!$Z$3:$Z$98,"Batteri",'Alle ruter'!$AJ$3:$AJ$98,"&gt;"&amp;G$47,'Alle ruter'!$AH$3:$AH$98,'Energi per fylke'!$A56)+SUMIFS('Alle ruter'!$AL$3:$AL$98,'Alle ruter'!$Z$3:$Z$98,"H2",'Alle ruter'!$AJ$3:$AJ$98,"&gt;"&amp;G$32,'Alle ruter'!$AH$3:$AH$98,'Energi per fylke'!$A56))/1000000</f>
        <v>0.3216213</v>
      </c>
      <c r="H56" s="4">
        <f>(SUMIFS('Alle ruter'!$AL$3:$AL$98,'Alle ruter'!$Z$3:$Z$98,"Batteri",'Alle ruter'!$AJ$3:$AJ$98,"&gt;"&amp;H$47,'Alle ruter'!$AH$3:$AH$98,'Energi per fylke'!$A56)+SUMIFS('Alle ruter'!$AL$3:$AL$98,'Alle ruter'!$Z$3:$Z$98,"H2",'Alle ruter'!$AJ$3:$AJ$98,"&gt;"&amp;H$32,'Alle ruter'!$AH$3:$AH$98,'Energi per fylke'!$A56))/1000000</f>
        <v>0.3216213</v>
      </c>
      <c r="I56" s="4">
        <f>(SUMIFS('Alle ruter'!$AL$3:$AL$98,'Alle ruter'!$Z$3:$Z$98,"Batteri",'Alle ruter'!$AJ$3:$AJ$98,"&gt;"&amp;I$47,'Alle ruter'!$AH$3:$AH$98,'Energi per fylke'!$A56)+SUMIFS('Alle ruter'!$AL$3:$AL$98,'Alle ruter'!$Z$3:$Z$98,"H2",'Alle ruter'!$AJ$3:$AJ$98,"&gt;"&amp;I$32,'Alle ruter'!$AH$3:$AH$98,'Energi per fylke'!$A56))/1000000</f>
        <v>0.3216213</v>
      </c>
      <c r="J56" s="4">
        <f>(SUMIFS('Alle ruter'!$AL$3:$AL$98,'Alle ruter'!$Z$3:$Z$98,"Batteri",'Alle ruter'!$AJ$3:$AJ$98,"&gt;"&amp;J$47,'Alle ruter'!$AH$3:$AH$98,'Energi per fylke'!$A56)+SUMIFS('Alle ruter'!$AL$3:$AL$98,'Alle ruter'!$Z$3:$Z$98,"H2",'Alle ruter'!$AJ$3:$AJ$98,"&gt;"&amp;J$32,'Alle ruter'!$AH$3:$AH$98,'Energi per fylke'!$A56))/1000000</f>
        <v>0.3216213</v>
      </c>
      <c r="K56" s="4">
        <f>(SUMIFS('Alle ruter'!$AL$3:$AL$98,'Alle ruter'!$Z$3:$Z$98,"Batteri",'Alle ruter'!$AJ$3:$AJ$98,"&gt;"&amp;K$47,'Alle ruter'!$AH$3:$AH$98,'Energi per fylke'!$A56)+SUMIFS('Alle ruter'!$AL$3:$AL$98,'Alle ruter'!$Z$3:$Z$98,"H2",'Alle ruter'!$AJ$3:$AJ$98,"&gt;"&amp;K$32,'Alle ruter'!$AH$3:$AH$98,'Energi per fylke'!$A56))/1000000</f>
        <v>0.3216213</v>
      </c>
      <c r="L56" s="4">
        <f>(SUMIFS('Alle ruter'!$AL$3:$AL$98,'Alle ruter'!$Z$3:$Z$98,"Batteri",'Alle ruter'!$AJ$3:$AJ$98,"&gt;"&amp;L$47,'Alle ruter'!$AH$3:$AH$98,'Energi per fylke'!$A56)+SUMIFS('Alle ruter'!$AL$3:$AL$98,'Alle ruter'!$Z$3:$Z$98,"H2",'Alle ruter'!$AJ$3:$AJ$98,"&gt;"&amp;L$32,'Alle ruter'!$AH$3:$AH$98,'Energi per fylke'!$A56))/1000000</f>
        <v>0.3216213</v>
      </c>
      <c r="M56" s="4">
        <f>(SUMIFS('Alle ruter'!$AL$3:$AL$98,'Alle ruter'!$Z$3:$Z$98,"Batteri",'Alle ruter'!$AJ$3:$AJ$98,"&gt;"&amp;M$47,'Alle ruter'!$AH$3:$AH$98,'Energi per fylke'!$A56)+SUMIFS('Alle ruter'!$AL$3:$AL$98,'Alle ruter'!$Z$3:$Z$98,"H2",'Alle ruter'!$AJ$3:$AJ$98,"&gt;"&amp;M$32,'Alle ruter'!$AH$3:$AH$98,'Energi per fylke'!$A56))/1000000</f>
        <v>0.3216213</v>
      </c>
      <c r="N56" s="4">
        <f>(SUMIFS('Alle ruter'!$AL$3:$AL$98,'Alle ruter'!$Z$3:$Z$98,"Batteri",'Alle ruter'!$AJ$3:$AJ$98,"&gt;"&amp;N$47,'Alle ruter'!$AH$3:$AH$98,'Energi per fylke'!$A56)+SUMIFS('Alle ruter'!$AL$3:$AL$98,'Alle ruter'!$Z$3:$Z$98,"H2",'Alle ruter'!$AJ$3:$AJ$98,"&gt;"&amp;N$32,'Alle ruter'!$AH$3:$AH$98,'Energi per fylke'!$A56))/1000000</f>
        <v>0.3216213</v>
      </c>
      <c r="O56" s="4">
        <f>(SUMIFS('Alle ruter'!$AL$3:$AL$98,'Alle ruter'!$Z$3:$Z$98,"Batteri",'Alle ruter'!$AJ$3:$AJ$98,"&gt;"&amp;O$47,'Alle ruter'!$AH$3:$AH$98,'Energi per fylke'!$A56)+SUMIFS('Alle ruter'!$AL$3:$AL$98,'Alle ruter'!$Z$3:$Z$98,"H2",'Alle ruter'!$AJ$3:$AJ$98,"&gt;"&amp;O$32,'Alle ruter'!$AH$3:$AH$98,'Energi per fylke'!$A56))/1000000</f>
        <v>0.3216213</v>
      </c>
      <c r="P56" s="4">
        <f>(SUMIFS('Alle ruter'!$AL$3:$AL$98,'Alle ruter'!$Z$3:$Z$98,"Batteri",'Alle ruter'!$AJ$3:$AJ$98,"&gt;"&amp;P$47,'Alle ruter'!$AH$3:$AH$98,'Energi per fylke'!$A56)+SUMIFS('Alle ruter'!$AL$3:$AL$98,'Alle ruter'!$Z$3:$Z$98,"H2",'Alle ruter'!$AJ$3:$AJ$98,"&gt;"&amp;P$32,'Alle ruter'!$AH$3:$AH$98,'Energi per fylke'!$A56))/1000000</f>
        <v>0</v>
      </c>
    </row>
    <row r="57" spans="1:16" x14ac:dyDescent="0.3">
      <c r="A57" t="s">
        <v>405</v>
      </c>
      <c r="B57" s="3">
        <f t="shared" ref="B57:J57" si="9">SUM(B49:B56)</f>
        <v>55.605488949999987</v>
      </c>
      <c r="C57" s="3">
        <f t="shared" si="9"/>
        <v>43.570989849999997</v>
      </c>
      <c r="D57" s="3">
        <f t="shared" si="9"/>
        <v>36.041560050000001</v>
      </c>
      <c r="E57" s="3">
        <f t="shared" si="9"/>
        <v>22.527979500000001</v>
      </c>
      <c r="F57" s="3">
        <f t="shared" si="9"/>
        <v>18.566449200000005</v>
      </c>
      <c r="G57" s="3">
        <f t="shared" si="9"/>
        <v>14.232491000000001</v>
      </c>
      <c r="H57" s="3">
        <f t="shared" si="9"/>
        <v>5.3779310000000011</v>
      </c>
      <c r="I57" s="3">
        <f t="shared" si="9"/>
        <v>5.3779310000000011</v>
      </c>
      <c r="J57" s="3">
        <f t="shared" si="9"/>
        <v>4.9315994000000005</v>
      </c>
      <c r="K57" s="3">
        <f>SUM(K49:K56)</f>
        <v>4.0655556500000003</v>
      </c>
      <c r="L57" s="3">
        <f t="shared" ref="L57:P57" si="10">SUM(L49:L56)</f>
        <v>3.3245868500000002</v>
      </c>
      <c r="M57" s="3">
        <f t="shared" si="10"/>
        <v>3.3245868500000002</v>
      </c>
      <c r="N57" s="3">
        <f t="shared" si="10"/>
        <v>2.82136985</v>
      </c>
      <c r="O57" s="3">
        <f t="shared" si="10"/>
        <v>2.82136985</v>
      </c>
      <c r="P57" s="3">
        <f t="shared" si="10"/>
        <v>0</v>
      </c>
    </row>
    <row r="59" spans="1:16" x14ac:dyDescent="0.3">
      <c r="K59">
        <f>1-(K57)/B57</f>
        <v>0.92688571350113091</v>
      </c>
    </row>
    <row r="61" spans="1:16" x14ac:dyDescent="0.3">
      <c r="C61" s="45" t="s">
        <v>419</v>
      </c>
      <c r="D61" s="45"/>
      <c r="E61" s="45"/>
      <c r="F61" s="45"/>
      <c r="G61" s="45"/>
      <c r="H61" s="45"/>
      <c r="I61" s="45"/>
      <c r="J61" s="45"/>
      <c r="K61" s="45"/>
    </row>
    <row r="62" spans="1:16" x14ac:dyDescent="0.3">
      <c r="C62" s="35">
        <v>44926</v>
      </c>
      <c r="D62" s="35">
        <v>45291</v>
      </c>
      <c r="E62" s="35">
        <v>45657</v>
      </c>
      <c r="F62" s="35">
        <v>46022</v>
      </c>
      <c r="G62" s="35">
        <v>46387</v>
      </c>
      <c r="H62" s="35">
        <v>46752</v>
      </c>
      <c r="I62" s="35">
        <v>47118</v>
      </c>
      <c r="J62" s="35">
        <v>47483</v>
      </c>
      <c r="K62" s="35">
        <v>47848</v>
      </c>
      <c r="L62" s="35">
        <v>48213</v>
      </c>
      <c r="M62" s="35">
        <v>48579</v>
      </c>
      <c r="N62" s="35">
        <v>48944</v>
      </c>
      <c r="O62" s="35">
        <v>49309</v>
      </c>
      <c r="P62" s="35">
        <v>49674</v>
      </c>
    </row>
    <row r="63" spans="1:16" x14ac:dyDescent="0.3">
      <c r="A63" s="24" t="s">
        <v>2</v>
      </c>
      <c r="B63" s="37">
        <v>2021</v>
      </c>
      <c r="C63" s="24">
        <f>YEAR(C62)</f>
        <v>2022</v>
      </c>
      <c r="D63" s="24">
        <f t="shared" ref="D63:P63" si="11">YEAR(D62)</f>
        <v>2023</v>
      </c>
      <c r="E63" s="24">
        <f t="shared" si="11"/>
        <v>2024</v>
      </c>
      <c r="F63" s="24">
        <f t="shared" si="11"/>
        <v>2025</v>
      </c>
      <c r="G63" s="24">
        <f t="shared" si="11"/>
        <v>2026</v>
      </c>
      <c r="H63" s="24">
        <f t="shared" si="11"/>
        <v>2027</v>
      </c>
      <c r="I63" s="24">
        <f t="shared" si="11"/>
        <v>2028</v>
      </c>
      <c r="J63" s="24">
        <f t="shared" si="11"/>
        <v>2029</v>
      </c>
      <c r="K63" s="24">
        <f t="shared" si="11"/>
        <v>2030</v>
      </c>
      <c r="L63" s="24">
        <f t="shared" si="11"/>
        <v>2031</v>
      </c>
      <c r="M63" s="24">
        <f t="shared" si="11"/>
        <v>2032</v>
      </c>
      <c r="N63" s="24">
        <f t="shared" si="11"/>
        <v>2033</v>
      </c>
      <c r="O63" s="24">
        <f t="shared" si="11"/>
        <v>2034</v>
      </c>
      <c r="P63" s="24">
        <f t="shared" si="11"/>
        <v>2035</v>
      </c>
    </row>
    <row r="64" spans="1:16" x14ac:dyDescent="0.3">
      <c r="A64" t="s">
        <v>388</v>
      </c>
      <c r="B64" s="4">
        <f>(SUMIFS('Alle ruter'!$AA$3:$AA$98,'Alle ruter'!$Z$3:$Z$98,"Batteri",'Alle ruter'!$AH$3:$AH$98,'Energi per fylke'!$A64)+SUMIFS('Alle ruter'!$AA$3:$AA$98,'Alle ruter'!$Z$3:$Z$98,"H2",'Alle ruter'!$AH$3:$AH$98,'Energi per fylke'!$A64))/1000000</f>
        <v>63.91940158811024</v>
      </c>
      <c r="C64" s="4">
        <f>(SUMIFS('Alle ruter'!$AA$3:$AA$98,'Alle ruter'!$Z$3:$Z$98,"Batteri",'Alle ruter'!$AJ$3:$AJ$98,"&gt;"&amp;C$62,'Alle ruter'!$AH$3:$AH$98,'Energi per fylke'!$A64)+SUMIFS('Alle ruter'!$AA$3:$AA$98,'Alle ruter'!$Z$3:$Z$98,"H2",'Alle ruter'!$AJ$3:$AJ$98,"&gt;"&amp;C$62,'Alle ruter'!$AH$3:$AH$98,'Energi per fylke'!$A64))/1000000</f>
        <v>46.851694695252185</v>
      </c>
      <c r="D64" s="4">
        <f>(SUMIFS('Alle ruter'!$AA$3:$AA$98,'Alle ruter'!$Z$3:$Z$98,"Batteri",'Alle ruter'!$AJ$3:$AJ$98,"&gt;"&amp;D$62,'Alle ruter'!$AH$3:$AH$98,'Energi per fylke'!$A64)+SUMIFS('Alle ruter'!$AA$3:$AA$98,'Alle ruter'!$Z$3:$Z$98,"H2",'Alle ruter'!$AJ$3:$AJ$98,"&gt;"&amp;D$62,'Alle ruter'!$AH$3:$AH$98,'Energi per fylke'!$A64))/1000000</f>
        <v>46.851694695252185</v>
      </c>
      <c r="E64" s="4">
        <f>(SUMIFS('Alle ruter'!$AA$3:$AA$98,'Alle ruter'!$Z$3:$Z$98,"Batteri",'Alle ruter'!$AJ$3:$AJ$98,"&gt;"&amp;E$62,'Alle ruter'!$AH$3:$AH$98,'Energi per fylke'!$A64)+SUMIFS('Alle ruter'!$AA$3:$AA$98,'Alle ruter'!$Z$3:$Z$98,"H2",'Alle ruter'!$AJ$3:$AJ$98,"&gt;"&amp;E$62,'Alle ruter'!$AH$3:$AH$98,'Energi per fylke'!$A64))/1000000</f>
        <v>19.0661856464937</v>
      </c>
      <c r="F64" s="4">
        <f>(SUMIFS('Alle ruter'!$AA$3:$AA$98,'Alle ruter'!$Z$3:$Z$98,"Batteri",'Alle ruter'!$AJ$3:$AJ$98,"&gt;"&amp;F$62,'Alle ruter'!$AH$3:$AH$98,'Energi per fylke'!$A64)+SUMIFS('Alle ruter'!$AA$3:$AA$98,'Alle ruter'!$Z$3:$Z$98,"H2",'Alle ruter'!$AJ$3:$AJ$98,"&gt;"&amp;F$62,'Alle ruter'!$AH$3:$AH$98,'Energi per fylke'!$A64))/1000000</f>
        <v>19.0661856464937</v>
      </c>
      <c r="G64" s="4">
        <f>(SUMIFS('Alle ruter'!$AA$3:$AA$98,'Alle ruter'!$Z$3:$Z$98,"Batteri",'Alle ruter'!$AJ$3:$AJ$98,"&gt;"&amp;G$62,'Alle ruter'!$AH$3:$AH$98,'Energi per fylke'!$A64)+SUMIFS('Alle ruter'!$AA$3:$AA$98,'Alle ruter'!$Z$3:$Z$98,"H2",'Alle ruter'!$AJ$3:$AJ$98,"&gt;"&amp;G$62,'Alle ruter'!$AH$3:$AH$98,'Energi per fylke'!$A64))/1000000</f>
        <v>18.054790330905899</v>
      </c>
      <c r="H64" s="4">
        <f>(SUMIFS('Alle ruter'!$AA$3:$AA$98,'Alle ruter'!$Z$3:$Z$98,"Batteri",'Alle ruter'!$AJ$3:$AJ$98,"&gt;"&amp;H$62,'Alle ruter'!$AH$3:$AH$98,'Energi per fylke'!$A64)+SUMIFS('Alle ruter'!$AA$3:$AA$98,'Alle ruter'!$Z$3:$Z$98,"H2",'Alle ruter'!$AJ$3:$AJ$98,"&gt;"&amp;H$62,'Alle ruter'!$AH$3:$AH$98,'Energi per fylke'!$A64))/1000000</f>
        <v>0</v>
      </c>
      <c r="I64" s="4">
        <f>(SUMIFS('Alle ruter'!$AA$3:$AA$98,'Alle ruter'!$Z$3:$Z$98,"Batteri",'Alle ruter'!$AJ$3:$AJ$98,"&gt;"&amp;I$62,'Alle ruter'!$AH$3:$AH$98,'Energi per fylke'!$A64)+SUMIFS('Alle ruter'!$AA$3:$AA$98,'Alle ruter'!$Z$3:$Z$98,"H2",'Alle ruter'!$AJ$3:$AJ$98,"&gt;"&amp;I$62,'Alle ruter'!$AH$3:$AH$98,'Energi per fylke'!$A64))/1000000</f>
        <v>0</v>
      </c>
      <c r="J64" s="4">
        <f>(SUMIFS('Alle ruter'!$AA$3:$AA$98,'Alle ruter'!$Z$3:$Z$98,"Batteri",'Alle ruter'!$AJ$3:$AJ$98,"&gt;"&amp;J$62,'Alle ruter'!$AH$3:$AH$98,'Energi per fylke'!$A64)+SUMIFS('Alle ruter'!$AA$3:$AA$98,'Alle ruter'!$Z$3:$Z$98,"H2",'Alle ruter'!$AJ$3:$AJ$98,"&gt;"&amp;J$62,'Alle ruter'!$AH$3:$AH$98,'Energi per fylke'!$A64))/1000000</f>
        <v>0</v>
      </c>
      <c r="K64" s="4">
        <f>(SUMIFS('Alle ruter'!$AA$3:$AA$98,'Alle ruter'!$Z$3:$Z$98,"Batteri",'Alle ruter'!$AJ$3:$AJ$98,"&gt;"&amp;K$62,'Alle ruter'!$AH$3:$AH$98,'Energi per fylke'!$A64)+SUMIFS('Alle ruter'!$AA$3:$AA$98,'Alle ruter'!$Z$3:$Z$98,"H2",'Alle ruter'!$AJ$3:$AJ$98,"&gt;"&amp;K$62,'Alle ruter'!$AH$3:$AH$98,'Energi per fylke'!$A64))/1000000</f>
        <v>0</v>
      </c>
      <c r="L64" s="4">
        <f>(SUMIFS('Alle ruter'!$AA$3:$AA$98,'Alle ruter'!$Z$3:$Z$98,"Batteri",'Alle ruter'!$AJ$3:$AJ$98,"&gt;"&amp;L$62,'Alle ruter'!$AH$3:$AH$98,'Energi per fylke'!$A64)+SUMIFS('Alle ruter'!$AA$3:$AA$98,'Alle ruter'!$Z$3:$Z$98,"H2",'Alle ruter'!$AJ$3:$AJ$98,"&gt;"&amp;L$62,'Alle ruter'!$AH$3:$AH$98,'Energi per fylke'!$A64))/1000000</f>
        <v>0</v>
      </c>
      <c r="M64" s="4">
        <f>(SUMIFS('Alle ruter'!$AA$3:$AA$98,'Alle ruter'!$Z$3:$Z$98,"Batteri",'Alle ruter'!$AJ$3:$AJ$98,"&gt;"&amp;M$62,'Alle ruter'!$AH$3:$AH$98,'Energi per fylke'!$A64)+SUMIFS('Alle ruter'!$AA$3:$AA$98,'Alle ruter'!$Z$3:$Z$98,"H2",'Alle ruter'!$AJ$3:$AJ$98,"&gt;"&amp;M$62,'Alle ruter'!$AH$3:$AH$98,'Energi per fylke'!$A64))/1000000</f>
        <v>0</v>
      </c>
      <c r="N64" s="4">
        <f>(SUMIFS('Alle ruter'!$AA$3:$AA$98,'Alle ruter'!$Z$3:$Z$98,"Batteri",'Alle ruter'!$AJ$3:$AJ$98,"&gt;"&amp;N$62,'Alle ruter'!$AH$3:$AH$98,'Energi per fylke'!$A64)+SUMIFS('Alle ruter'!$AA$3:$AA$98,'Alle ruter'!$Z$3:$Z$98,"H2",'Alle ruter'!$AJ$3:$AJ$98,"&gt;"&amp;N$62,'Alle ruter'!$AH$3:$AH$98,'Energi per fylke'!$A64))/1000000</f>
        <v>0</v>
      </c>
      <c r="O64" s="4">
        <f>(SUMIFS('Alle ruter'!$AA$3:$AA$98,'Alle ruter'!$Z$3:$Z$98,"Batteri",'Alle ruter'!$AJ$3:$AJ$98,"&gt;"&amp;O$62,'Alle ruter'!$AH$3:$AH$98,'Energi per fylke'!$A64)+SUMIFS('Alle ruter'!$AA$3:$AA$98,'Alle ruter'!$Z$3:$Z$98,"H2",'Alle ruter'!$AJ$3:$AJ$98,"&gt;"&amp;O$62,'Alle ruter'!$AH$3:$AH$98,'Energi per fylke'!$A64))/1000000</f>
        <v>0</v>
      </c>
      <c r="P64" s="4">
        <f>(SUMIFS('Alle ruter'!$AA$3:$AA$98,'Alle ruter'!$Z$3:$Z$98,"Batteri",'Alle ruter'!$AJ$3:$AJ$98,"&gt;"&amp;P$62,'Alle ruter'!$AH$3:$AH$98,'Energi per fylke'!$A64)+SUMIFS('Alle ruter'!$AA$3:$AA$98,'Alle ruter'!$Z$3:$Z$98,"H2",'Alle ruter'!$AJ$3:$AJ$98,"&gt;"&amp;P$62,'Alle ruter'!$AH$3:$AH$98,'Energi per fylke'!$A64))/1000000</f>
        <v>0</v>
      </c>
    </row>
    <row r="65" spans="1:16" x14ac:dyDescent="0.3">
      <c r="A65" t="s">
        <v>15</v>
      </c>
      <c r="B65" s="4">
        <f>(SUMIFS('Alle ruter'!$AA$3:$AA$98,'Alle ruter'!$Z$3:$Z$98,"Batteri",'Alle ruter'!$AH$3:$AH$98,'Energi per fylke'!$A65)+SUMIFS('Alle ruter'!$AA$3:$AA$98,'Alle ruter'!$Z$3:$Z$98,"H2",'Alle ruter'!$AH$3:$AH$98,'Energi per fylke'!$A65))/1000000</f>
        <v>41.438422695374243</v>
      </c>
      <c r="C65" s="4">
        <f>(SUMIFS('Alle ruter'!$AA$3:$AA$98,'Alle ruter'!$Z$3:$Z$98,"Batteri",'Alle ruter'!$AJ$3:$AJ$98,"&gt;"&amp;C$62,'Alle ruter'!$AH$3:$AH$98,'Energi per fylke'!$A65)+SUMIFS('Alle ruter'!$AA$3:$AA$98,'Alle ruter'!$Z$3:$Z$98,"H2",'Alle ruter'!$AJ$3:$AJ$98,"&gt;"&amp;C$62,'Alle ruter'!$AH$3:$AH$98,'Energi per fylke'!$A65))/1000000</f>
        <v>16.002850512958396</v>
      </c>
      <c r="D65" s="4">
        <f>(SUMIFS('Alle ruter'!$AA$3:$AA$98,'Alle ruter'!$Z$3:$Z$98,"Batteri",'Alle ruter'!$AJ$3:$AJ$98,"&gt;"&amp;D$62,'Alle ruter'!$AH$3:$AH$98,'Energi per fylke'!$A65)+SUMIFS('Alle ruter'!$AA$3:$AA$98,'Alle ruter'!$Z$3:$Z$98,"H2",'Alle ruter'!$AJ$3:$AJ$98,"&gt;"&amp;D$62,'Alle ruter'!$AH$3:$AH$98,'Energi per fylke'!$A65))/1000000</f>
        <v>14.778174931334098</v>
      </c>
      <c r="E65" s="4">
        <f>(SUMIFS('Alle ruter'!$AA$3:$AA$98,'Alle ruter'!$Z$3:$Z$98,"Batteri",'Alle ruter'!$AJ$3:$AJ$98,"&gt;"&amp;E$62,'Alle ruter'!$AH$3:$AH$98,'Energi per fylke'!$A65)+SUMIFS('Alle ruter'!$AA$3:$AA$98,'Alle ruter'!$Z$3:$Z$98,"H2",'Alle ruter'!$AJ$3:$AJ$98,"&gt;"&amp;E$62,'Alle ruter'!$AH$3:$AH$98,'Energi per fylke'!$A65))/1000000</f>
        <v>14.778174931334098</v>
      </c>
      <c r="F65" s="4">
        <f>(SUMIFS('Alle ruter'!$AA$3:$AA$98,'Alle ruter'!$Z$3:$Z$98,"Batteri",'Alle ruter'!$AJ$3:$AJ$98,"&gt;"&amp;F$62,'Alle ruter'!$AH$3:$AH$98,'Energi per fylke'!$A65)+SUMIFS('Alle ruter'!$AA$3:$AA$98,'Alle ruter'!$Z$3:$Z$98,"H2",'Alle ruter'!$AJ$3:$AJ$98,"&gt;"&amp;F$62,'Alle ruter'!$AH$3:$AH$98,'Energi per fylke'!$A65))/1000000</f>
        <v>14.778174931334098</v>
      </c>
      <c r="G65" s="4">
        <f>(SUMIFS('Alle ruter'!$AA$3:$AA$98,'Alle ruter'!$Z$3:$Z$98,"Batteri",'Alle ruter'!$AJ$3:$AJ$98,"&gt;"&amp;G$62,'Alle ruter'!$AH$3:$AH$98,'Energi per fylke'!$A65)+SUMIFS('Alle ruter'!$AA$3:$AA$98,'Alle ruter'!$Z$3:$Z$98,"H2",'Alle ruter'!$AJ$3:$AJ$98,"&gt;"&amp;G$62,'Alle ruter'!$AH$3:$AH$98,'Energi per fylke'!$A65))/1000000</f>
        <v>14.778174931334098</v>
      </c>
      <c r="H65" s="4">
        <f>(SUMIFS('Alle ruter'!$AA$3:$AA$98,'Alle ruter'!$Z$3:$Z$98,"Batteri",'Alle ruter'!$AJ$3:$AJ$98,"&gt;"&amp;H$62,'Alle ruter'!$AH$3:$AH$98,'Energi per fylke'!$A65)+SUMIFS('Alle ruter'!$AA$3:$AA$98,'Alle ruter'!$Z$3:$Z$98,"H2",'Alle ruter'!$AJ$3:$AJ$98,"&gt;"&amp;H$62,'Alle ruter'!$AH$3:$AH$98,'Energi per fylke'!$A65))/1000000</f>
        <v>0</v>
      </c>
      <c r="I65" s="4">
        <f>(SUMIFS('Alle ruter'!$AA$3:$AA$98,'Alle ruter'!$Z$3:$Z$98,"Batteri",'Alle ruter'!$AJ$3:$AJ$98,"&gt;"&amp;I$62,'Alle ruter'!$AH$3:$AH$98,'Energi per fylke'!$A65)+SUMIFS('Alle ruter'!$AA$3:$AA$98,'Alle ruter'!$Z$3:$Z$98,"H2",'Alle ruter'!$AJ$3:$AJ$98,"&gt;"&amp;I$62,'Alle ruter'!$AH$3:$AH$98,'Energi per fylke'!$A65))/1000000</f>
        <v>0</v>
      </c>
      <c r="J65" s="4">
        <f>(SUMIFS('Alle ruter'!$AA$3:$AA$98,'Alle ruter'!$Z$3:$Z$98,"Batteri",'Alle ruter'!$AJ$3:$AJ$98,"&gt;"&amp;J$62,'Alle ruter'!$AH$3:$AH$98,'Energi per fylke'!$A65)+SUMIFS('Alle ruter'!$AA$3:$AA$98,'Alle ruter'!$Z$3:$Z$98,"H2",'Alle ruter'!$AJ$3:$AJ$98,"&gt;"&amp;J$62,'Alle ruter'!$AH$3:$AH$98,'Energi per fylke'!$A65))/1000000</f>
        <v>0</v>
      </c>
      <c r="K65" s="4">
        <f>(SUMIFS('Alle ruter'!$AA$3:$AA$98,'Alle ruter'!$Z$3:$Z$98,"Batteri",'Alle ruter'!$AJ$3:$AJ$98,"&gt;"&amp;K$62,'Alle ruter'!$AH$3:$AH$98,'Energi per fylke'!$A65)+SUMIFS('Alle ruter'!$AA$3:$AA$98,'Alle ruter'!$Z$3:$Z$98,"H2",'Alle ruter'!$AJ$3:$AJ$98,"&gt;"&amp;K$62,'Alle ruter'!$AH$3:$AH$98,'Energi per fylke'!$A65))/1000000</f>
        <v>0</v>
      </c>
      <c r="L65" s="4">
        <f>(SUMIFS('Alle ruter'!$AA$3:$AA$98,'Alle ruter'!$Z$3:$Z$98,"Batteri",'Alle ruter'!$AJ$3:$AJ$98,"&gt;"&amp;L$62,'Alle ruter'!$AH$3:$AH$98,'Energi per fylke'!$A65)+SUMIFS('Alle ruter'!$AA$3:$AA$98,'Alle ruter'!$Z$3:$Z$98,"H2",'Alle ruter'!$AJ$3:$AJ$98,"&gt;"&amp;L$62,'Alle ruter'!$AH$3:$AH$98,'Energi per fylke'!$A65))/1000000</f>
        <v>0</v>
      </c>
      <c r="M65" s="4">
        <f>(SUMIFS('Alle ruter'!$AA$3:$AA$98,'Alle ruter'!$Z$3:$Z$98,"Batteri",'Alle ruter'!$AJ$3:$AJ$98,"&gt;"&amp;M$62,'Alle ruter'!$AH$3:$AH$98,'Energi per fylke'!$A65)+SUMIFS('Alle ruter'!$AA$3:$AA$98,'Alle ruter'!$Z$3:$Z$98,"H2",'Alle ruter'!$AJ$3:$AJ$98,"&gt;"&amp;M$62,'Alle ruter'!$AH$3:$AH$98,'Energi per fylke'!$A65))/1000000</f>
        <v>0</v>
      </c>
      <c r="N65" s="4">
        <f>(SUMIFS('Alle ruter'!$AA$3:$AA$98,'Alle ruter'!$Z$3:$Z$98,"Batteri",'Alle ruter'!$AJ$3:$AJ$98,"&gt;"&amp;N$62,'Alle ruter'!$AH$3:$AH$98,'Energi per fylke'!$A65)+SUMIFS('Alle ruter'!$AA$3:$AA$98,'Alle ruter'!$Z$3:$Z$98,"H2",'Alle ruter'!$AJ$3:$AJ$98,"&gt;"&amp;N$62,'Alle ruter'!$AH$3:$AH$98,'Energi per fylke'!$A65))/1000000</f>
        <v>0</v>
      </c>
      <c r="O65" s="4">
        <f>(SUMIFS('Alle ruter'!$AA$3:$AA$98,'Alle ruter'!$Z$3:$Z$98,"Batteri",'Alle ruter'!$AJ$3:$AJ$98,"&gt;"&amp;O$62,'Alle ruter'!$AH$3:$AH$98,'Energi per fylke'!$A65)+SUMIFS('Alle ruter'!$AA$3:$AA$98,'Alle ruter'!$Z$3:$Z$98,"H2",'Alle ruter'!$AJ$3:$AJ$98,"&gt;"&amp;O$62,'Alle ruter'!$AH$3:$AH$98,'Energi per fylke'!$A65))/1000000</f>
        <v>0</v>
      </c>
      <c r="P65" s="4">
        <f>(SUMIFS('Alle ruter'!$AA$3:$AA$98,'Alle ruter'!$Z$3:$Z$98,"Batteri",'Alle ruter'!$AJ$3:$AJ$98,"&gt;"&amp;P$62,'Alle ruter'!$AH$3:$AH$98,'Energi per fylke'!$A65)+SUMIFS('Alle ruter'!$AA$3:$AA$98,'Alle ruter'!$Z$3:$Z$98,"H2",'Alle ruter'!$AJ$3:$AJ$98,"&gt;"&amp;P$62,'Alle ruter'!$AH$3:$AH$98,'Energi per fylke'!$A65))/1000000</f>
        <v>0</v>
      </c>
    </row>
    <row r="66" spans="1:16" x14ac:dyDescent="0.3">
      <c r="A66" t="s">
        <v>11</v>
      </c>
      <c r="B66" s="4">
        <f>(SUMIFS('Alle ruter'!$AA$3:$AA$98,'Alle ruter'!$Z$3:$Z$98,"Batteri",'Alle ruter'!$AH$3:$AH$98,'Energi per fylke'!$A66)+SUMIFS('Alle ruter'!$AA$3:$AA$98,'Alle ruter'!$Z$3:$Z$98,"H2",'Alle ruter'!$AH$3:$AH$98,'Energi per fylke'!$A66))/1000000</f>
        <v>21.327460202220248</v>
      </c>
      <c r="C66" s="4">
        <f>(SUMIFS('Alle ruter'!$AA$3:$AA$98,'Alle ruter'!$Z$3:$Z$98,"Batteri",'Alle ruter'!$AJ$3:$AJ$98,"&gt;"&amp;C$62,'Alle ruter'!$AH$3:$AH$98,'Energi per fylke'!$A66)+SUMIFS('Alle ruter'!$AA$3:$AA$98,'Alle ruter'!$Z$3:$Z$98,"H2",'Alle ruter'!$AJ$3:$AJ$98,"&gt;"&amp;C$62,'Alle ruter'!$AH$3:$AH$98,'Energi per fylke'!$A66))/1000000</f>
        <v>21.327460202220248</v>
      </c>
      <c r="D66" s="4">
        <f>(SUMIFS('Alle ruter'!$AA$3:$AA$98,'Alle ruter'!$Z$3:$Z$98,"Batteri",'Alle ruter'!$AJ$3:$AJ$98,"&gt;"&amp;D$62,'Alle ruter'!$AH$3:$AH$98,'Energi per fylke'!$A66)+SUMIFS('Alle ruter'!$AA$3:$AA$98,'Alle ruter'!$Z$3:$Z$98,"H2",'Alle ruter'!$AJ$3:$AJ$98,"&gt;"&amp;D$62,'Alle ruter'!$AH$3:$AH$98,'Energi per fylke'!$A66))/1000000</f>
        <v>20.516180537310252</v>
      </c>
      <c r="E66" s="4">
        <f>(SUMIFS('Alle ruter'!$AA$3:$AA$98,'Alle ruter'!$Z$3:$Z$98,"Batteri",'Alle ruter'!$AJ$3:$AJ$98,"&gt;"&amp;E$62,'Alle ruter'!$AH$3:$AH$98,'Energi per fylke'!$A66)+SUMIFS('Alle ruter'!$AA$3:$AA$98,'Alle ruter'!$Z$3:$Z$98,"H2",'Alle ruter'!$AJ$3:$AJ$98,"&gt;"&amp;E$62,'Alle ruter'!$AH$3:$AH$98,'Energi per fylke'!$A66))/1000000</f>
        <v>2.7475337984951995</v>
      </c>
      <c r="F66" s="4">
        <f>(SUMIFS('Alle ruter'!$AA$3:$AA$98,'Alle ruter'!$Z$3:$Z$98,"Batteri",'Alle ruter'!$AJ$3:$AJ$98,"&gt;"&amp;F$62,'Alle ruter'!$AH$3:$AH$98,'Energi per fylke'!$A66)+SUMIFS('Alle ruter'!$AA$3:$AA$98,'Alle ruter'!$Z$3:$Z$98,"H2",'Alle ruter'!$AJ$3:$AJ$98,"&gt;"&amp;F$62,'Alle ruter'!$AH$3:$AH$98,'Energi per fylke'!$A66))/1000000</f>
        <v>2.7475337984951995</v>
      </c>
      <c r="G66" s="4">
        <f>(SUMIFS('Alle ruter'!$AA$3:$AA$98,'Alle ruter'!$Z$3:$Z$98,"Batteri",'Alle ruter'!$AJ$3:$AJ$98,"&gt;"&amp;G$62,'Alle ruter'!$AH$3:$AH$98,'Energi per fylke'!$A66)+SUMIFS('Alle ruter'!$AA$3:$AA$98,'Alle ruter'!$Z$3:$Z$98,"H2",'Alle ruter'!$AJ$3:$AJ$98,"&gt;"&amp;G$62,'Alle ruter'!$AH$3:$AH$98,'Energi per fylke'!$A66))/1000000</f>
        <v>2.7475337984951995</v>
      </c>
      <c r="H66" s="4">
        <f>(SUMIFS('Alle ruter'!$AA$3:$AA$98,'Alle ruter'!$Z$3:$Z$98,"Batteri",'Alle ruter'!$AJ$3:$AJ$98,"&gt;"&amp;H$62,'Alle ruter'!$AH$3:$AH$98,'Energi per fylke'!$A66)+SUMIFS('Alle ruter'!$AA$3:$AA$98,'Alle ruter'!$Z$3:$Z$98,"H2",'Alle ruter'!$AJ$3:$AJ$98,"&gt;"&amp;H$62,'Alle ruter'!$AH$3:$AH$98,'Energi per fylke'!$A66))/1000000</f>
        <v>2.7475337984951995</v>
      </c>
      <c r="I66" s="4">
        <f>(SUMIFS('Alle ruter'!$AA$3:$AA$98,'Alle ruter'!$Z$3:$Z$98,"Batteri",'Alle ruter'!$AJ$3:$AJ$98,"&gt;"&amp;I$62,'Alle ruter'!$AH$3:$AH$98,'Energi per fylke'!$A66)+SUMIFS('Alle ruter'!$AA$3:$AA$98,'Alle ruter'!$Z$3:$Z$98,"H2",'Alle ruter'!$AJ$3:$AJ$98,"&gt;"&amp;I$62,'Alle ruter'!$AH$3:$AH$98,'Energi per fylke'!$A66))/1000000</f>
        <v>2.7475337984951995</v>
      </c>
      <c r="J66" s="4">
        <f>(SUMIFS('Alle ruter'!$AA$3:$AA$98,'Alle ruter'!$Z$3:$Z$98,"Batteri",'Alle ruter'!$AJ$3:$AJ$98,"&gt;"&amp;J$62,'Alle ruter'!$AH$3:$AH$98,'Energi per fylke'!$A66)+SUMIFS('Alle ruter'!$AA$3:$AA$98,'Alle ruter'!$Z$3:$Z$98,"H2",'Alle ruter'!$AJ$3:$AJ$98,"&gt;"&amp;J$62,'Alle ruter'!$AH$3:$AH$98,'Energi per fylke'!$A66))/1000000</f>
        <v>2.7475337984951995</v>
      </c>
      <c r="K66" s="4">
        <f>(SUMIFS('Alle ruter'!$AA$3:$AA$98,'Alle ruter'!$Z$3:$Z$98,"Batteri",'Alle ruter'!$AJ$3:$AJ$98,"&gt;"&amp;K$62,'Alle ruter'!$AH$3:$AH$98,'Energi per fylke'!$A66)+SUMIFS('Alle ruter'!$AA$3:$AA$98,'Alle ruter'!$Z$3:$Z$98,"H2",'Alle ruter'!$AJ$3:$AJ$98,"&gt;"&amp;K$62,'Alle ruter'!$AH$3:$AH$98,'Energi per fylke'!$A66))/1000000</f>
        <v>2.7475337984951995</v>
      </c>
      <c r="L66" s="4">
        <f>(SUMIFS('Alle ruter'!$AA$3:$AA$98,'Alle ruter'!$Z$3:$Z$98,"Batteri",'Alle ruter'!$AJ$3:$AJ$98,"&gt;"&amp;L$62,'Alle ruter'!$AH$3:$AH$98,'Energi per fylke'!$A66)+SUMIFS('Alle ruter'!$AA$3:$AA$98,'Alle ruter'!$Z$3:$Z$98,"H2",'Alle ruter'!$AJ$3:$AJ$98,"&gt;"&amp;L$62,'Alle ruter'!$AH$3:$AH$98,'Energi per fylke'!$A66))/1000000</f>
        <v>0</v>
      </c>
      <c r="M66" s="4">
        <f>(SUMIFS('Alle ruter'!$AA$3:$AA$98,'Alle ruter'!$Z$3:$Z$98,"Batteri",'Alle ruter'!$AJ$3:$AJ$98,"&gt;"&amp;M$62,'Alle ruter'!$AH$3:$AH$98,'Energi per fylke'!$A66)+SUMIFS('Alle ruter'!$AA$3:$AA$98,'Alle ruter'!$Z$3:$Z$98,"H2",'Alle ruter'!$AJ$3:$AJ$98,"&gt;"&amp;M$62,'Alle ruter'!$AH$3:$AH$98,'Energi per fylke'!$A66))/1000000</f>
        <v>0</v>
      </c>
      <c r="N66" s="4">
        <f>(SUMIFS('Alle ruter'!$AA$3:$AA$98,'Alle ruter'!$Z$3:$Z$98,"Batteri",'Alle ruter'!$AJ$3:$AJ$98,"&gt;"&amp;N$62,'Alle ruter'!$AH$3:$AH$98,'Energi per fylke'!$A66)+SUMIFS('Alle ruter'!$AA$3:$AA$98,'Alle ruter'!$Z$3:$Z$98,"H2",'Alle ruter'!$AJ$3:$AJ$98,"&gt;"&amp;N$62,'Alle ruter'!$AH$3:$AH$98,'Energi per fylke'!$A66))/1000000</f>
        <v>0</v>
      </c>
      <c r="O66" s="4">
        <f>(SUMIFS('Alle ruter'!$AA$3:$AA$98,'Alle ruter'!$Z$3:$Z$98,"Batteri",'Alle ruter'!$AJ$3:$AJ$98,"&gt;"&amp;O$62,'Alle ruter'!$AH$3:$AH$98,'Energi per fylke'!$A66)+SUMIFS('Alle ruter'!$AA$3:$AA$98,'Alle ruter'!$Z$3:$Z$98,"H2",'Alle ruter'!$AJ$3:$AJ$98,"&gt;"&amp;O$62,'Alle ruter'!$AH$3:$AH$98,'Energi per fylke'!$A66))/1000000</f>
        <v>0</v>
      </c>
      <c r="P66" s="4">
        <f>(SUMIFS('Alle ruter'!$AA$3:$AA$98,'Alle ruter'!$Z$3:$Z$98,"Batteri",'Alle ruter'!$AJ$3:$AJ$98,"&gt;"&amp;P$62,'Alle ruter'!$AH$3:$AH$98,'Energi per fylke'!$A66)+SUMIFS('Alle ruter'!$AA$3:$AA$98,'Alle ruter'!$Z$3:$Z$98,"H2",'Alle ruter'!$AJ$3:$AJ$98,"&gt;"&amp;P$62,'Alle ruter'!$AH$3:$AH$98,'Energi per fylke'!$A66))/1000000</f>
        <v>0</v>
      </c>
    </row>
    <row r="67" spans="1:16" x14ac:dyDescent="0.3">
      <c r="A67" t="s">
        <v>389</v>
      </c>
      <c r="B67" s="4">
        <f>(SUMIFS('Alle ruter'!$AA$3:$AA$98,'Alle ruter'!$Z$3:$Z$98,"Batteri",'Alle ruter'!$AH$3:$AH$98,'Energi per fylke'!$A67)+SUMIFS('Alle ruter'!$AA$3:$AA$98,'Alle ruter'!$Z$3:$Z$98,"H2",'Alle ruter'!$AH$3:$AH$98,'Energi per fylke'!$A67))/1000000</f>
        <v>30.929702204273596</v>
      </c>
      <c r="C67" s="4">
        <f>(SUMIFS('Alle ruter'!$AA$3:$AA$98,'Alle ruter'!$Z$3:$Z$98,"Batteri",'Alle ruter'!$AJ$3:$AJ$98,"&gt;"&amp;C$62,'Alle ruter'!$AH$3:$AH$98,'Energi per fylke'!$A67)+SUMIFS('Alle ruter'!$AA$3:$AA$98,'Alle ruter'!$Z$3:$Z$98,"H2",'Alle ruter'!$AJ$3:$AJ$98,"&gt;"&amp;C$62,'Alle ruter'!$AH$3:$AH$98,'Energi per fylke'!$A67))/1000000</f>
        <v>28.808709616273596</v>
      </c>
      <c r="D67" s="4">
        <f>(SUMIFS('Alle ruter'!$AA$3:$AA$98,'Alle ruter'!$Z$3:$Z$98,"Batteri",'Alle ruter'!$AJ$3:$AJ$98,"&gt;"&amp;D$62,'Alle ruter'!$AH$3:$AH$98,'Energi per fylke'!$A67)+SUMIFS('Alle ruter'!$AA$3:$AA$98,'Alle ruter'!$Z$3:$Z$98,"H2",'Alle ruter'!$AJ$3:$AJ$98,"&gt;"&amp;D$62,'Alle ruter'!$AH$3:$AH$98,'Energi per fylke'!$A67))/1000000</f>
        <v>28.808709616273596</v>
      </c>
      <c r="E67" s="4">
        <f>(SUMIFS('Alle ruter'!$AA$3:$AA$98,'Alle ruter'!$Z$3:$Z$98,"Batteri",'Alle ruter'!$AJ$3:$AJ$98,"&gt;"&amp;E$62,'Alle ruter'!$AH$3:$AH$98,'Energi per fylke'!$A67)+SUMIFS('Alle ruter'!$AA$3:$AA$98,'Alle ruter'!$Z$3:$Z$98,"H2",'Alle ruter'!$AJ$3:$AJ$98,"&gt;"&amp;E$62,'Alle ruter'!$AH$3:$AH$98,'Energi per fylke'!$A67))/1000000</f>
        <v>28.808709616273596</v>
      </c>
      <c r="F67" s="4">
        <f>(SUMIFS('Alle ruter'!$AA$3:$AA$98,'Alle ruter'!$Z$3:$Z$98,"Batteri",'Alle ruter'!$AJ$3:$AJ$98,"&gt;"&amp;F$62,'Alle ruter'!$AH$3:$AH$98,'Energi per fylke'!$A67)+SUMIFS('Alle ruter'!$AA$3:$AA$98,'Alle ruter'!$Z$3:$Z$98,"H2",'Alle ruter'!$AJ$3:$AJ$98,"&gt;"&amp;F$62,'Alle ruter'!$AH$3:$AH$98,'Energi per fylke'!$A67))/1000000</f>
        <v>14.119240379494903</v>
      </c>
      <c r="G67" s="4">
        <f>(SUMIFS('Alle ruter'!$AA$3:$AA$98,'Alle ruter'!$Z$3:$Z$98,"Batteri",'Alle ruter'!$AJ$3:$AJ$98,"&gt;"&amp;G$62,'Alle ruter'!$AH$3:$AH$98,'Energi per fylke'!$A67)+SUMIFS('Alle ruter'!$AA$3:$AA$98,'Alle ruter'!$Z$3:$Z$98,"H2",'Alle ruter'!$AJ$3:$AJ$98,"&gt;"&amp;G$62,'Alle ruter'!$AH$3:$AH$98,'Energi per fylke'!$A67))/1000000</f>
        <v>14.119240379494903</v>
      </c>
      <c r="H67" s="4">
        <f>(SUMIFS('Alle ruter'!$AA$3:$AA$98,'Alle ruter'!$Z$3:$Z$98,"Batteri",'Alle ruter'!$AJ$3:$AJ$98,"&gt;"&amp;H$62,'Alle ruter'!$AH$3:$AH$98,'Energi per fylke'!$A67)+SUMIFS('Alle ruter'!$AA$3:$AA$98,'Alle ruter'!$Z$3:$Z$98,"H2",'Alle ruter'!$AJ$3:$AJ$98,"&gt;"&amp;H$62,'Alle ruter'!$AH$3:$AH$98,'Energi per fylke'!$A67))/1000000</f>
        <v>14.119240379494903</v>
      </c>
      <c r="I67" s="4">
        <f>(SUMIFS('Alle ruter'!$AA$3:$AA$98,'Alle ruter'!$Z$3:$Z$98,"Batteri",'Alle ruter'!$AJ$3:$AJ$98,"&gt;"&amp;I$62,'Alle ruter'!$AH$3:$AH$98,'Energi per fylke'!$A67)+SUMIFS('Alle ruter'!$AA$3:$AA$98,'Alle ruter'!$Z$3:$Z$98,"H2",'Alle ruter'!$AJ$3:$AJ$98,"&gt;"&amp;I$62,'Alle ruter'!$AH$3:$AH$98,'Energi per fylke'!$A67))/1000000</f>
        <v>14.119240379494903</v>
      </c>
      <c r="J67" s="4">
        <f>(SUMIFS('Alle ruter'!$AA$3:$AA$98,'Alle ruter'!$Z$3:$Z$98,"Batteri",'Alle ruter'!$AJ$3:$AJ$98,"&gt;"&amp;J$62,'Alle ruter'!$AH$3:$AH$98,'Energi per fylke'!$A67)+SUMIFS('Alle ruter'!$AA$3:$AA$98,'Alle ruter'!$Z$3:$Z$98,"H2",'Alle ruter'!$AJ$3:$AJ$98,"&gt;"&amp;J$62,'Alle ruter'!$AH$3:$AH$98,'Energi per fylke'!$A67))/1000000</f>
        <v>12.464229863078501</v>
      </c>
      <c r="K67" s="4">
        <f>(SUMIFS('Alle ruter'!$AA$3:$AA$98,'Alle ruter'!$Z$3:$Z$98,"Batteri",'Alle ruter'!$AJ$3:$AJ$98,"&gt;"&amp;K$62,'Alle ruter'!$AH$3:$AH$98,'Energi per fylke'!$A67)+SUMIFS('Alle ruter'!$AA$3:$AA$98,'Alle ruter'!$Z$3:$Z$98,"H2",'Alle ruter'!$AJ$3:$AJ$98,"&gt;"&amp;K$62,'Alle ruter'!$AH$3:$AH$98,'Energi per fylke'!$A67))/1000000</f>
        <v>11.13508334540095</v>
      </c>
      <c r="L67" s="4">
        <f>(SUMIFS('Alle ruter'!$AA$3:$AA$98,'Alle ruter'!$Z$3:$Z$98,"Batteri",'Alle ruter'!$AJ$3:$AJ$98,"&gt;"&amp;L$62,'Alle ruter'!$AH$3:$AH$98,'Energi per fylke'!$A67)+SUMIFS('Alle ruter'!$AA$3:$AA$98,'Alle ruter'!$Z$3:$Z$98,"H2",'Alle ruter'!$AJ$3:$AJ$98,"&gt;"&amp;L$62,'Alle ruter'!$AH$3:$AH$98,'Energi per fylke'!$A67))/1000000</f>
        <v>11.13508334540095</v>
      </c>
      <c r="M67" s="4">
        <f>(SUMIFS('Alle ruter'!$AA$3:$AA$98,'Alle ruter'!$Z$3:$Z$98,"Batteri",'Alle ruter'!$AJ$3:$AJ$98,"&gt;"&amp;M$62,'Alle ruter'!$AH$3:$AH$98,'Energi per fylke'!$A67)+SUMIFS('Alle ruter'!$AA$3:$AA$98,'Alle ruter'!$Z$3:$Z$98,"H2",'Alle ruter'!$AJ$3:$AJ$98,"&gt;"&amp;M$62,'Alle ruter'!$AH$3:$AH$98,'Energi per fylke'!$A67))/1000000</f>
        <v>11.13508334540095</v>
      </c>
      <c r="N67" s="4">
        <f>(SUMIFS('Alle ruter'!$AA$3:$AA$98,'Alle ruter'!$Z$3:$Z$98,"Batteri",'Alle ruter'!$AJ$3:$AJ$98,"&gt;"&amp;N$62,'Alle ruter'!$AH$3:$AH$98,'Energi per fylke'!$A67)+SUMIFS('Alle ruter'!$AA$3:$AA$98,'Alle ruter'!$Z$3:$Z$98,"H2",'Alle ruter'!$AJ$3:$AJ$98,"&gt;"&amp;N$62,'Alle ruter'!$AH$3:$AH$98,'Energi per fylke'!$A67))/1000000</f>
        <v>9.2691401161079501</v>
      </c>
      <c r="O67" s="4">
        <f>(SUMIFS('Alle ruter'!$AA$3:$AA$98,'Alle ruter'!$Z$3:$Z$98,"Batteri",'Alle ruter'!$AJ$3:$AJ$98,"&gt;"&amp;O$62,'Alle ruter'!$AH$3:$AH$98,'Energi per fylke'!$A67)+SUMIFS('Alle ruter'!$AA$3:$AA$98,'Alle ruter'!$Z$3:$Z$98,"H2",'Alle ruter'!$AJ$3:$AJ$98,"&gt;"&amp;O$62,'Alle ruter'!$AH$3:$AH$98,'Energi per fylke'!$A67))/1000000</f>
        <v>9.2691401161079501</v>
      </c>
      <c r="P67" s="4">
        <f>(SUMIFS('Alle ruter'!$AA$3:$AA$98,'Alle ruter'!$Z$3:$Z$98,"Batteri",'Alle ruter'!$AJ$3:$AJ$98,"&gt;"&amp;P$62,'Alle ruter'!$AH$3:$AH$98,'Energi per fylke'!$A67)+SUMIFS('Alle ruter'!$AA$3:$AA$98,'Alle ruter'!$Z$3:$Z$98,"H2",'Alle ruter'!$AJ$3:$AJ$98,"&gt;"&amp;P$62,'Alle ruter'!$AH$3:$AH$98,'Energi per fylke'!$A67))/1000000</f>
        <v>0</v>
      </c>
    </row>
    <row r="68" spans="1:16" x14ac:dyDescent="0.3">
      <c r="A68" t="s">
        <v>19</v>
      </c>
      <c r="B68" s="4">
        <f>(SUMIFS('Alle ruter'!$AA$3:$AA$98,'Alle ruter'!$Z$3:$Z$98,"Batteri",'Alle ruter'!$AH$3:$AH$98,'Energi per fylke'!$A68)+SUMIFS('Alle ruter'!$AA$3:$AA$98,'Alle ruter'!$Z$3:$Z$98,"H2",'Alle ruter'!$AH$3:$AH$98,'Energi per fylke'!$A68))/1000000</f>
        <v>27.765557627921098</v>
      </c>
      <c r="C68" s="4">
        <f>(SUMIFS('Alle ruter'!$AA$3:$AA$98,'Alle ruter'!$Z$3:$Z$98,"Batteri",'Alle ruter'!$AJ$3:$AJ$98,"&gt;"&amp;C$62,'Alle ruter'!$AH$3:$AH$98,'Energi per fylke'!$A68)+SUMIFS('Alle ruter'!$AA$3:$AA$98,'Alle ruter'!$Z$3:$Z$98,"H2",'Alle ruter'!$AJ$3:$AJ$98,"&gt;"&amp;C$62,'Alle ruter'!$AH$3:$AH$98,'Energi per fylke'!$A68))/1000000</f>
        <v>27.765557627921098</v>
      </c>
      <c r="D68" s="4">
        <f>(SUMIFS('Alle ruter'!$AA$3:$AA$98,'Alle ruter'!$Z$3:$Z$98,"Batteri",'Alle ruter'!$AJ$3:$AJ$98,"&gt;"&amp;D$62,'Alle ruter'!$AH$3:$AH$98,'Energi per fylke'!$A68)+SUMIFS('Alle ruter'!$AA$3:$AA$98,'Alle ruter'!$Z$3:$Z$98,"H2",'Alle ruter'!$AJ$3:$AJ$98,"&gt;"&amp;D$62,'Alle ruter'!$AH$3:$AH$98,'Energi per fylke'!$A68))/1000000</f>
        <v>1.8821688225911997</v>
      </c>
      <c r="E68" s="4">
        <f>(SUMIFS('Alle ruter'!$AA$3:$AA$98,'Alle ruter'!$Z$3:$Z$98,"Batteri",'Alle ruter'!$AJ$3:$AJ$98,"&gt;"&amp;E$62,'Alle ruter'!$AH$3:$AH$98,'Energi per fylke'!$A68)+SUMIFS('Alle ruter'!$AA$3:$AA$98,'Alle ruter'!$Z$3:$Z$98,"H2",'Alle ruter'!$AJ$3:$AJ$98,"&gt;"&amp;E$62,'Alle ruter'!$AH$3:$AH$98,'Energi per fylke'!$A68))/1000000</f>
        <v>1.8821688225911997</v>
      </c>
      <c r="F68" s="4">
        <f>(SUMIFS('Alle ruter'!$AA$3:$AA$98,'Alle ruter'!$Z$3:$Z$98,"Batteri",'Alle ruter'!$AJ$3:$AJ$98,"&gt;"&amp;F$62,'Alle ruter'!$AH$3:$AH$98,'Energi per fylke'!$A68)+SUMIFS('Alle ruter'!$AA$3:$AA$98,'Alle ruter'!$Z$3:$Z$98,"H2",'Alle ruter'!$AJ$3:$AJ$98,"&gt;"&amp;F$62,'Alle ruter'!$AH$3:$AH$98,'Energi per fylke'!$A68))/1000000</f>
        <v>1.8821688225911997</v>
      </c>
      <c r="G68" s="4">
        <f>(SUMIFS('Alle ruter'!$AA$3:$AA$98,'Alle ruter'!$Z$3:$Z$98,"Batteri",'Alle ruter'!$AJ$3:$AJ$98,"&gt;"&amp;G$62,'Alle ruter'!$AH$3:$AH$98,'Energi per fylke'!$A68)+SUMIFS('Alle ruter'!$AA$3:$AA$98,'Alle ruter'!$Z$3:$Z$98,"H2",'Alle ruter'!$AJ$3:$AJ$98,"&gt;"&amp;G$62,'Alle ruter'!$AH$3:$AH$98,'Energi per fylke'!$A68))/1000000</f>
        <v>1.8821688225911997</v>
      </c>
      <c r="H68" s="4">
        <f>(SUMIFS('Alle ruter'!$AA$3:$AA$98,'Alle ruter'!$Z$3:$Z$98,"Batteri",'Alle ruter'!$AJ$3:$AJ$98,"&gt;"&amp;H$62,'Alle ruter'!$AH$3:$AH$98,'Energi per fylke'!$A68)+SUMIFS('Alle ruter'!$AA$3:$AA$98,'Alle ruter'!$Z$3:$Z$98,"H2",'Alle ruter'!$AJ$3:$AJ$98,"&gt;"&amp;H$62,'Alle ruter'!$AH$3:$AH$98,'Energi per fylke'!$A68))/1000000</f>
        <v>1.8821688225911997</v>
      </c>
      <c r="I68" s="4">
        <f>(SUMIFS('Alle ruter'!$AA$3:$AA$98,'Alle ruter'!$Z$3:$Z$98,"Batteri",'Alle ruter'!$AJ$3:$AJ$98,"&gt;"&amp;I$62,'Alle ruter'!$AH$3:$AH$98,'Energi per fylke'!$A68)+SUMIFS('Alle ruter'!$AA$3:$AA$98,'Alle ruter'!$Z$3:$Z$98,"H2",'Alle ruter'!$AJ$3:$AJ$98,"&gt;"&amp;I$62,'Alle ruter'!$AH$3:$AH$98,'Energi per fylke'!$A68))/1000000</f>
        <v>1.8821688225911997</v>
      </c>
      <c r="J68" s="4">
        <f>(SUMIFS('Alle ruter'!$AA$3:$AA$98,'Alle ruter'!$Z$3:$Z$98,"Batteri",'Alle ruter'!$AJ$3:$AJ$98,"&gt;"&amp;J$62,'Alle ruter'!$AH$3:$AH$98,'Energi per fylke'!$A68)+SUMIFS('Alle ruter'!$AA$3:$AA$98,'Alle ruter'!$Z$3:$Z$98,"H2",'Alle ruter'!$AJ$3:$AJ$98,"&gt;"&amp;J$62,'Alle ruter'!$AH$3:$AH$98,'Energi per fylke'!$A68))/1000000</f>
        <v>1.8821688225911997</v>
      </c>
      <c r="K68" s="4">
        <f>(SUMIFS('Alle ruter'!$AA$3:$AA$98,'Alle ruter'!$Z$3:$Z$98,"Batteri",'Alle ruter'!$AJ$3:$AJ$98,"&gt;"&amp;K$62,'Alle ruter'!$AH$3:$AH$98,'Energi per fylke'!$A68)+SUMIFS('Alle ruter'!$AA$3:$AA$98,'Alle ruter'!$Z$3:$Z$98,"H2",'Alle ruter'!$AJ$3:$AJ$98,"&gt;"&amp;K$62,'Alle ruter'!$AH$3:$AH$98,'Energi per fylke'!$A68))/1000000</f>
        <v>0</v>
      </c>
      <c r="L68" s="4">
        <f>(SUMIFS('Alle ruter'!$AA$3:$AA$98,'Alle ruter'!$Z$3:$Z$98,"Batteri",'Alle ruter'!$AJ$3:$AJ$98,"&gt;"&amp;L$62,'Alle ruter'!$AH$3:$AH$98,'Energi per fylke'!$A68)+SUMIFS('Alle ruter'!$AA$3:$AA$98,'Alle ruter'!$Z$3:$Z$98,"H2",'Alle ruter'!$AJ$3:$AJ$98,"&gt;"&amp;L$62,'Alle ruter'!$AH$3:$AH$98,'Energi per fylke'!$A68))/1000000</f>
        <v>0</v>
      </c>
      <c r="M68" s="4">
        <f>(SUMIFS('Alle ruter'!$AA$3:$AA$98,'Alle ruter'!$Z$3:$Z$98,"Batteri",'Alle ruter'!$AJ$3:$AJ$98,"&gt;"&amp;M$62,'Alle ruter'!$AH$3:$AH$98,'Energi per fylke'!$A68)+SUMIFS('Alle ruter'!$AA$3:$AA$98,'Alle ruter'!$Z$3:$Z$98,"H2",'Alle ruter'!$AJ$3:$AJ$98,"&gt;"&amp;M$62,'Alle ruter'!$AH$3:$AH$98,'Energi per fylke'!$A68))/1000000</f>
        <v>0</v>
      </c>
      <c r="N68" s="4">
        <f>(SUMIFS('Alle ruter'!$AA$3:$AA$98,'Alle ruter'!$Z$3:$Z$98,"Batteri",'Alle ruter'!$AJ$3:$AJ$98,"&gt;"&amp;N$62,'Alle ruter'!$AH$3:$AH$98,'Energi per fylke'!$A68)+SUMIFS('Alle ruter'!$AA$3:$AA$98,'Alle ruter'!$Z$3:$Z$98,"H2",'Alle ruter'!$AJ$3:$AJ$98,"&gt;"&amp;N$62,'Alle ruter'!$AH$3:$AH$98,'Energi per fylke'!$A68))/1000000</f>
        <v>0</v>
      </c>
      <c r="O68" s="4">
        <f>(SUMIFS('Alle ruter'!$AA$3:$AA$98,'Alle ruter'!$Z$3:$Z$98,"Batteri",'Alle ruter'!$AJ$3:$AJ$98,"&gt;"&amp;O$62,'Alle ruter'!$AH$3:$AH$98,'Energi per fylke'!$A68)+SUMIFS('Alle ruter'!$AA$3:$AA$98,'Alle ruter'!$Z$3:$Z$98,"H2",'Alle ruter'!$AJ$3:$AJ$98,"&gt;"&amp;O$62,'Alle ruter'!$AH$3:$AH$98,'Energi per fylke'!$A68))/1000000</f>
        <v>0</v>
      </c>
      <c r="P68" s="4">
        <f>(SUMIFS('Alle ruter'!$AA$3:$AA$98,'Alle ruter'!$Z$3:$Z$98,"Batteri",'Alle ruter'!$AJ$3:$AJ$98,"&gt;"&amp;P$62,'Alle ruter'!$AH$3:$AH$98,'Energi per fylke'!$A68)+SUMIFS('Alle ruter'!$AA$3:$AA$98,'Alle ruter'!$Z$3:$Z$98,"H2",'Alle ruter'!$AJ$3:$AJ$98,"&gt;"&amp;P$62,'Alle ruter'!$AH$3:$AH$98,'Energi per fylke'!$A68))/1000000</f>
        <v>0</v>
      </c>
    </row>
    <row r="69" spans="1:16" x14ac:dyDescent="0.3">
      <c r="A69" t="s">
        <v>8</v>
      </c>
      <c r="B69" s="4">
        <f>(SUMIFS('Alle ruter'!$AA$3:$AA$98,'Alle ruter'!$Z$3:$Z$98,"Batteri",'Alle ruter'!$AH$3:$AH$98,'Energi per fylke'!$A69)+SUMIFS('Alle ruter'!$AA$3:$AA$98,'Alle ruter'!$Z$3:$Z$98,"H2",'Alle ruter'!$AH$3:$AH$98,'Energi per fylke'!$A69))/1000000</f>
        <v>15.0590473748</v>
      </c>
      <c r="C69" s="4">
        <f>(SUMIFS('Alle ruter'!$AA$3:$AA$98,'Alle ruter'!$Z$3:$Z$98,"Batteri",'Alle ruter'!$AJ$3:$AJ$98,"&gt;"&amp;C$62,'Alle ruter'!$AH$3:$AH$98,'Energi per fylke'!$A69)+SUMIFS('Alle ruter'!$AA$3:$AA$98,'Alle ruter'!$Z$3:$Z$98,"H2",'Alle ruter'!$AJ$3:$AJ$98,"&gt;"&amp;C$62,'Alle ruter'!$AH$3:$AH$98,'Energi per fylke'!$A69))/1000000</f>
        <v>15.0590473748</v>
      </c>
      <c r="D69" s="4">
        <f>(SUMIFS('Alle ruter'!$AA$3:$AA$98,'Alle ruter'!$Z$3:$Z$98,"Batteri",'Alle ruter'!$AJ$3:$AJ$98,"&gt;"&amp;D$62,'Alle ruter'!$AH$3:$AH$98,'Energi per fylke'!$A69)+SUMIFS('Alle ruter'!$AA$3:$AA$98,'Alle ruter'!$Z$3:$Z$98,"H2",'Alle ruter'!$AJ$3:$AJ$98,"&gt;"&amp;D$62,'Alle ruter'!$AH$3:$AH$98,'Energi per fylke'!$A69))/1000000</f>
        <v>15.0590473748</v>
      </c>
      <c r="E69" s="4">
        <f>(SUMIFS('Alle ruter'!$AA$3:$AA$98,'Alle ruter'!$Z$3:$Z$98,"Batteri",'Alle ruter'!$AJ$3:$AJ$98,"&gt;"&amp;E$62,'Alle ruter'!$AH$3:$AH$98,'Energi per fylke'!$A69)+SUMIFS('Alle ruter'!$AA$3:$AA$98,'Alle ruter'!$Z$3:$Z$98,"H2",'Alle ruter'!$AJ$3:$AJ$98,"&gt;"&amp;E$62,'Alle ruter'!$AH$3:$AH$98,'Energi per fylke'!$A69))/1000000</f>
        <v>15.0590473748</v>
      </c>
      <c r="F69" s="4">
        <f>(SUMIFS('Alle ruter'!$AA$3:$AA$98,'Alle ruter'!$Z$3:$Z$98,"Batteri",'Alle ruter'!$AJ$3:$AJ$98,"&gt;"&amp;F$62,'Alle ruter'!$AH$3:$AH$98,'Energi per fylke'!$A69)+SUMIFS('Alle ruter'!$AA$3:$AA$98,'Alle ruter'!$Z$3:$Z$98,"H2",'Alle ruter'!$AJ$3:$AJ$98,"&gt;"&amp;F$62,'Alle ruter'!$AH$3:$AH$98,'Energi per fylke'!$A69))/1000000</f>
        <v>15.0590473748</v>
      </c>
      <c r="G69" s="4">
        <f>(SUMIFS('Alle ruter'!$AA$3:$AA$98,'Alle ruter'!$Z$3:$Z$98,"Batteri",'Alle ruter'!$AJ$3:$AJ$98,"&gt;"&amp;G$62,'Alle ruter'!$AH$3:$AH$98,'Energi per fylke'!$A69)+SUMIFS('Alle ruter'!$AA$3:$AA$98,'Alle ruter'!$Z$3:$Z$98,"H2",'Alle ruter'!$AJ$3:$AJ$98,"&gt;"&amp;G$62,'Alle ruter'!$AH$3:$AH$98,'Energi per fylke'!$A69))/1000000</f>
        <v>0</v>
      </c>
      <c r="H69" s="4">
        <f>(SUMIFS('Alle ruter'!$AA$3:$AA$98,'Alle ruter'!$Z$3:$Z$98,"Batteri",'Alle ruter'!$AJ$3:$AJ$98,"&gt;"&amp;H$62,'Alle ruter'!$AH$3:$AH$98,'Energi per fylke'!$A69)+SUMIFS('Alle ruter'!$AA$3:$AA$98,'Alle ruter'!$Z$3:$Z$98,"H2",'Alle ruter'!$AJ$3:$AJ$98,"&gt;"&amp;H$62,'Alle ruter'!$AH$3:$AH$98,'Energi per fylke'!$A69))/1000000</f>
        <v>0</v>
      </c>
      <c r="I69" s="4">
        <f>(SUMIFS('Alle ruter'!$AA$3:$AA$98,'Alle ruter'!$Z$3:$Z$98,"Batteri",'Alle ruter'!$AJ$3:$AJ$98,"&gt;"&amp;I$62,'Alle ruter'!$AH$3:$AH$98,'Energi per fylke'!$A69)+SUMIFS('Alle ruter'!$AA$3:$AA$98,'Alle ruter'!$Z$3:$Z$98,"H2",'Alle ruter'!$AJ$3:$AJ$98,"&gt;"&amp;I$62,'Alle ruter'!$AH$3:$AH$98,'Energi per fylke'!$A69))/1000000</f>
        <v>0</v>
      </c>
      <c r="J69" s="4">
        <f>(SUMIFS('Alle ruter'!$AA$3:$AA$98,'Alle ruter'!$Z$3:$Z$98,"Batteri",'Alle ruter'!$AJ$3:$AJ$98,"&gt;"&amp;J$62,'Alle ruter'!$AH$3:$AH$98,'Energi per fylke'!$A69)+SUMIFS('Alle ruter'!$AA$3:$AA$98,'Alle ruter'!$Z$3:$Z$98,"H2",'Alle ruter'!$AJ$3:$AJ$98,"&gt;"&amp;J$62,'Alle ruter'!$AH$3:$AH$98,'Energi per fylke'!$A69))/1000000</f>
        <v>0</v>
      </c>
      <c r="K69" s="4">
        <f>(SUMIFS('Alle ruter'!$AA$3:$AA$98,'Alle ruter'!$Z$3:$Z$98,"Batteri",'Alle ruter'!$AJ$3:$AJ$98,"&gt;"&amp;K$62,'Alle ruter'!$AH$3:$AH$98,'Energi per fylke'!$A69)+SUMIFS('Alle ruter'!$AA$3:$AA$98,'Alle ruter'!$Z$3:$Z$98,"H2",'Alle ruter'!$AJ$3:$AJ$98,"&gt;"&amp;K$62,'Alle ruter'!$AH$3:$AH$98,'Energi per fylke'!$A69))/1000000</f>
        <v>0</v>
      </c>
      <c r="L69" s="4">
        <f>(SUMIFS('Alle ruter'!$AA$3:$AA$98,'Alle ruter'!$Z$3:$Z$98,"Batteri",'Alle ruter'!$AJ$3:$AJ$98,"&gt;"&amp;L$62,'Alle ruter'!$AH$3:$AH$98,'Energi per fylke'!$A69)+SUMIFS('Alle ruter'!$AA$3:$AA$98,'Alle ruter'!$Z$3:$Z$98,"H2",'Alle ruter'!$AJ$3:$AJ$98,"&gt;"&amp;L$62,'Alle ruter'!$AH$3:$AH$98,'Energi per fylke'!$A69))/1000000</f>
        <v>0</v>
      </c>
      <c r="M69" s="4">
        <f>(SUMIFS('Alle ruter'!$AA$3:$AA$98,'Alle ruter'!$Z$3:$Z$98,"Batteri",'Alle ruter'!$AJ$3:$AJ$98,"&gt;"&amp;M$62,'Alle ruter'!$AH$3:$AH$98,'Energi per fylke'!$A69)+SUMIFS('Alle ruter'!$AA$3:$AA$98,'Alle ruter'!$Z$3:$Z$98,"H2",'Alle ruter'!$AJ$3:$AJ$98,"&gt;"&amp;M$62,'Alle ruter'!$AH$3:$AH$98,'Energi per fylke'!$A69))/1000000</f>
        <v>0</v>
      </c>
      <c r="N69" s="4">
        <f>(SUMIFS('Alle ruter'!$AA$3:$AA$98,'Alle ruter'!$Z$3:$Z$98,"Batteri",'Alle ruter'!$AJ$3:$AJ$98,"&gt;"&amp;N$62,'Alle ruter'!$AH$3:$AH$98,'Energi per fylke'!$A69)+SUMIFS('Alle ruter'!$AA$3:$AA$98,'Alle ruter'!$Z$3:$Z$98,"H2",'Alle ruter'!$AJ$3:$AJ$98,"&gt;"&amp;N$62,'Alle ruter'!$AH$3:$AH$98,'Energi per fylke'!$A69))/1000000</f>
        <v>0</v>
      </c>
      <c r="O69" s="4">
        <f>(SUMIFS('Alle ruter'!$AA$3:$AA$98,'Alle ruter'!$Z$3:$Z$98,"Batteri",'Alle ruter'!$AJ$3:$AJ$98,"&gt;"&amp;O$62,'Alle ruter'!$AH$3:$AH$98,'Energi per fylke'!$A69)+SUMIFS('Alle ruter'!$AA$3:$AA$98,'Alle ruter'!$Z$3:$Z$98,"H2",'Alle ruter'!$AJ$3:$AJ$98,"&gt;"&amp;O$62,'Alle ruter'!$AH$3:$AH$98,'Energi per fylke'!$A69))/1000000</f>
        <v>0</v>
      </c>
      <c r="P69" s="4">
        <f>(SUMIFS('Alle ruter'!$AA$3:$AA$98,'Alle ruter'!$Z$3:$Z$98,"Batteri",'Alle ruter'!$AJ$3:$AJ$98,"&gt;"&amp;P$62,'Alle ruter'!$AH$3:$AH$98,'Energi per fylke'!$A69)+SUMIFS('Alle ruter'!$AA$3:$AA$98,'Alle ruter'!$Z$3:$Z$98,"H2",'Alle ruter'!$AJ$3:$AJ$98,"&gt;"&amp;P$62,'Alle ruter'!$AH$3:$AH$98,'Energi per fylke'!$A69))/1000000</f>
        <v>0</v>
      </c>
    </row>
    <row r="70" spans="1:16" x14ac:dyDescent="0.3">
      <c r="A70" t="s">
        <v>6</v>
      </c>
      <c r="B70" s="4">
        <f>(SUMIFS('Alle ruter'!$AA$3:$AA$98,'Alle ruter'!$Z$3:$Z$98,"Batteri",'Alle ruter'!$AH$3:$AH$98,'Energi per fylke'!$A70)+SUMIFS('Alle ruter'!$AA$3:$AA$98,'Alle ruter'!$Z$3:$Z$98,"H2",'Alle ruter'!$AH$3:$AH$98,'Energi per fylke'!$A70))/1000000</f>
        <v>4.5545927856623996</v>
      </c>
      <c r="C70" s="4">
        <f>(SUMIFS('Alle ruter'!$AA$3:$AA$98,'Alle ruter'!$Z$3:$Z$98,"Batteri",'Alle ruter'!$AJ$3:$AJ$98,"&gt;"&amp;C$62,'Alle ruter'!$AH$3:$AH$98,'Energi per fylke'!$A70)+SUMIFS('Alle ruter'!$AA$3:$AA$98,'Alle ruter'!$Z$3:$Z$98,"H2",'Alle ruter'!$AJ$3:$AJ$98,"&gt;"&amp;C$62,'Alle ruter'!$AH$3:$AH$98,'Energi per fylke'!$A70))/1000000</f>
        <v>4.5545927856623996</v>
      </c>
      <c r="D70" s="4">
        <f>(SUMIFS('Alle ruter'!$AA$3:$AA$98,'Alle ruter'!$Z$3:$Z$98,"Batteri",'Alle ruter'!$AJ$3:$AJ$98,"&gt;"&amp;D$62,'Alle ruter'!$AH$3:$AH$98,'Energi per fylke'!$A70)+SUMIFS('Alle ruter'!$AA$3:$AA$98,'Alle ruter'!$Z$3:$Z$98,"H2",'Alle ruter'!$AJ$3:$AJ$98,"&gt;"&amp;D$62,'Alle ruter'!$AH$3:$AH$98,'Energi per fylke'!$A70))/1000000</f>
        <v>4.5545927856623996</v>
      </c>
      <c r="E70" s="4">
        <f>(SUMIFS('Alle ruter'!$AA$3:$AA$98,'Alle ruter'!$Z$3:$Z$98,"Batteri",'Alle ruter'!$AJ$3:$AJ$98,"&gt;"&amp;E$62,'Alle ruter'!$AH$3:$AH$98,'Energi per fylke'!$A70)+SUMIFS('Alle ruter'!$AA$3:$AA$98,'Alle ruter'!$Z$3:$Z$98,"H2",'Alle ruter'!$AJ$3:$AJ$98,"&gt;"&amp;E$62,'Alle ruter'!$AH$3:$AH$98,'Energi per fylke'!$A70))/1000000</f>
        <v>0</v>
      </c>
      <c r="F70" s="4">
        <f>(SUMIFS('Alle ruter'!$AA$3:$AA$98,'Alle ruter'!$Z$3:$Z$98,"Batteri",'Alle ruter'!$AJ$3:$AJ$98,"&gt;"&amp;F$62,'Alle ruter'!$AH$3:$AH$98,'Energi per fylke'!$A70)+SUMIFS('Alle ruter'!$AA$3:$AA$98,'Alle ruter'!$Z$3:$Z$98,"H2",'Alle ruter'!$AJ$3:$AJ$98,"&gt;"&amp;F$62,'Alle ruter'!$AH$3:$AH$98,'Energi per fylke'!$A70))/1000000</f>
        <v>0</v>
      </c>
      <c r="G70" s="4">
        <f>(SUMIFS('Alle ruter'!$AA$3:$AA$98,'Alle ruter'!$Z$3:$Z$98,"Batteri",'Alle ruter'!$AJ$3:$AJ$98,"&gt;"&amp;G$62,'Alle ruter'!$AH$3:$AH$98,'Energi per fylke'!$A70)+SUMIFS('Alle ruter'!$AA$3:$AA$98,'Alle ruter'!$Z$3:$Z$98,"H2",'Alle ruter'!$AJ$3:$AJ$98,"&gt;"&amp;G$62,'Alle ruter'!$AH$3:$AH$98,'Energi per fylke'!$A70))/1000000</f>
        <v>0</v>
      </c>
      <c r="H70" s="4">
        <f>(SUMIFS('Alle ruter'!$AA$3:$AA$98,'Alle ruter'!$Z$3:$Z$98,"Batteri",'Alle ruter'!$AJ$3:$AJ$98,"&gt;"&amp;H$62,'Alle ruter'!$AH$3:$AH$98,'Energi per fylke'!$A70)+SUMIFS('Alle ruter'!$AA$3:$AA$98,'Alle ruter'!$Z$3:$Z$98,"H2",'Alle ruter'!$AJ$3:$AJ$98,"&gt;"&amp;H$62,'Alle ruter'!$AH$3:$AH$98,'Energi per fylke'!$A70))/1000000</f>
        <v>0</v>
      </c>
      <c r="I70" s="4">
        <f>(SUMIFS('Alle ruter'!$AA$3:$AA$98,'Alle ruter'!$Z$3:$Z$98,"Batteri",'Alle ruter'!$AJ$3:$AJ$98,"&gt;"&amp;I$62,'Alle ruter'!$AH$3:$AH$98,'Energi per fylke'!$A70)+SUMIFS('Alle ruter'!$AA$3:$AA$98,'Alle ruter'!$Z$3:$Z$98,"H2",'Alle ruter'!$AJ$3:$AJ$98,"&gt;"&amp;I$62,'Alle ruter'!$AH$3:$AH$98,'Energi per fylke'!$A70))/1000000</f>
        <v>0</v>
      </c>
      <c r="J70" s="4">
        <f>(SUMIFS('Alle ruter'!$AA$3:$AA$98,'Alle ruter'!$Z$3:$Z$98,"Batteri",'Alle ruter'!$AJ$3:$AJ$98,"&gt;"&amp;J$62,'Alle ruter'!$AH$3:$AH$98,'Energi per fylke'!$A70)+SUMIFS('Alle ruter'!$AA$3:$AA$98,'Alle ruter'!$Z$3:$Z$98,"H2",'Alle ruter'!$AJ$3:$AJ$98,"&gt;"&amp;J$62,'Alle ruter'!$AH$3:$AH$98,'Energi per fylke'!$A70))/1000000</f>
        <v>0</v>
      </c>
      <c r="K70" s="4">
        <f>(SUMIFS('Alle ruter'!$AA$3:$AA$98,'Alle ruter'!$Z$3:$Z$98,"Batteri",'Alle ruter'!$AJ$3:$AJ$98,"&gt;"&amp;K$62,'Alle ruter'!$AH$3:$AH$98,'Energi per fylke'!$A70)+SUMIFS('Alle ruter'!$AA$3:$AA$98,'Alle ruter'!$Z$3:$Z$98,"H2",'Alle ruter'!$AJ$3:$AJ$98,"&gt;"&amp;K$62,'Alle ruter'!$AH$3:$AH$98,'Energi per fylke'!$A70))/1000000</f>
        <v>0</v>
      </c>
      <c r="L70" s="4">
        <f>(SUMIFS('Alle ruter'!$AA$3:$AA$98,'Alle ruter'!$Z$3:$Z$98,"Batteri",'Alle ruter'!$AJ$3:$AJ$98,"&gt;"&amp;L$62,'Alle ruter'!$AH$3:$AH$98,'Energi per fylke'!$A70)+SUMIFS('Alle ruter'!$AA$3:$AA$98,'Alle ruter'!$Z$3:$Z$98,"H2",'Alle ruter'!$AJ$3:$AJ$98,"&gt;"&amp;L$62,'Alle ruter'!$AH$3:$AH$98,'Energi per fylke'!$A70))/1000000</f>
        <v>0</v>
      </c>
      <c r="M70" s="4">
        <f>(SUMIFS('Alle ruter'!$AA$3:$AA$98,'Alle ruter'!$Z$3:$Z$98,"Batteri",'Alle ruter'!$AJ$3:$AJ$98,"&gt;"&amp;M$62,'Alle ruter'!$AH$3:$AH$98,'Energi per fylke'!$A70)+SUMIFS('Alle ruter'!$AA$3:$AA$98,'Alle ruter'!$Z$3:$Z$98,"H2",'Alle ruter'!$AJ$3:$AJ$98,"&gt;"&amp;M$62,'Alle ruter'!$AH$3:$AH$98,'Energi per fylke'!$A70))/1000000</f>
        <v>0</v>
      </c>
      <c r="N70" s="4">
        <f>(SUMIFS('Alle ruter'!$AA$3:$AA$98,'Alle ruter'!$Z$3:$Z$98,"Batteri",'Alle ruter'!$AJ$3:$AJ$98,"&gt;"&amp;N$62,'Alle ruter'!$AH$3:$AH$98,'Energi per fylke'!$A70)+SUMIFS('Alle ruter'!$AA$3:$AA$98,'Alle ruter'!$Z$3:$Z$98,"H2",'Alle ruter'!$AJ$3:$AJ$98,"&gt;"&amp;N$62,'Alle ruter'!$AH$3:$AH$98,'Energi per fylke'!$A70))/1000000</f>
        <v>0</v>
      </c>
      <c r="O70" s="4">
        <f>(SUMIFS('Alle ruter'!$AA$3:$AA$98,'Alle ruter'!$Z$3:$Z$98,"Batteri",'Alle ruter'!$AJ$3:$AJ$98,"&gt;"&amp;O$62,'Alle ruter'!$AH$3:$AH$98,'Energi per fylke'!$A70)+SUMIFS('Alle ruter'!$AA$3:$AA$98,'Alle ruter'!$Z$3:$Z$98,"H2",'Alle ruter'!$AJ$3:$AJ$98,"&gt;"&amp;O$62,'Alle ruter'!$AH$3:$AH$98,'Energi per fylke'!$A70))/1000000</f>
        <v>0</v>
      </c>
      <c r="P70" s="4">
        <f>(SUMIFS('Alle ruter'!$AA$3:$AA$98,'Alle ruter'!$Z$3:$Z$98,"Batteri",'Alle ruter'!$AJ$3:$AJ$98,"&gt;"&amp;P$62,'Alle ruter'!$AH$3:$AH$98,'Energi per fylke'!$A70)+SUMIFS('Alle ruter'!$AA$3:$AA$98,'Alle ruter'!$Z$3:$Z$98,"H2",'Alle ruter'!$AJ$3:$AJ$98,"&gt;"&amp;P$62,'Alle ruter'!$AH$3:$AH$98,'Energi per fylke'!$A70))/1000000</f>
        <v>0</v>
      </c>
    </row>
    <row r="71" spans="1:16" x14ac:dyDescent="0.3">
      <c r="A71" t="s">
        <v>390</v>
      </c>
      <c r="B71" s="4">
        <f>(SUMIFS('Alle ruter'!$AA$3:$AA$98,'Alle ruter'!$Z$3:$Z$98,"Batteri",'Alle ruter'!$AH$3:$AH$98,'Energi per fylke'!$A71)+SUMIFS('Alle ruter'!$AA$3:$AA$98,'Alle ruter'!$Z$3:$Z$98,"H2",'Alle ruter'!$AH$3:$AH$98,'Energi per fylke'!$A71))/1000000</f>
        <v>1.1925811074177</v>
      </c>
      <c r="C71" s="4">
        <f>(SUMIFS('Alle ruter'!$AA$3:$AA$98,'Alle ruter'!$Z$3:$Z$98,"Batteri",'Alle ruter'!$AJ$3:$AJ$98,"&gt;"&amp;C$62,'Alle ruter'!$AH$3:$AH$98,'Energi per fylke'!$A71)+SUMIFS('Alle ruter'!$AA$3:$AA$98,'Alle ruter'!$Z$3:$Z$98,"H2",'Alle ruter'!$AJ$3:$AJ$98,"&gt;"&amp;C$62,'Alle ruter'!$AH$3:$AH$98,'Energi per fylke'!$A71))/1000000</f>
        <v>1.1925811074177</v>
      </c>
      <c r="D71" s="4">
        <f>(SUMIFS('Alle ruter'!$AA$3:$AA$98,'Alle ruter'!$Z$3:$Z$98,"Batteri",'Alle ruter'!$AJ$3:$AJ$98,"&gt;"&amp;D$62,'Alle ruter'!$AH$3:$AH$98,'Energi per fylke'!$A71)+SUMIFS('Alle ruter'!$AA$3:$AA$98,'Alle ruter'!$Z$3:$Z$98,"H2",'Alle ruter'!$AJ$3:$AJ$98,"&gt;"&amp;D$62,'Alle ruter'!$AH$3:$AH$98,'Energi per fylke'!$A71))/1000000</f>
        <v>1.1925811074177</v>
      </c>
      <c r="E71" s="4">
        <f>(SUMIFS('Alle ruter'!$AA$3:$AA$98,'Alle ruter'!$Z$3:$Z$98,"Batteri",'Alle ruter'!$AJ$3:$AJ$98,"&gt;"&amp;E$62,'Alle ruter'!$AH$3:$AH$98,'Energi per fylke'!$A71)+SUMIFS('Alle ruter'!$AA$3:$AA$98,'Alle ruter'!$Z$3:$Z$98,"H2",'Alle ruter'!$AJ$3:$AJ$98,"&gt;"&amp;E$62,'Alle ruter'!$AH$3:$AH$98,'Energi per fylke'!$A71))/1000000</f>
        <v>1.1925811074177</v>
      </c>
      <c r="F71" s="4">
        <f>(SUMIFS('Alle ruter'!$AA$3:$AA$98,'Alle ruter'!$Z$3:$Z$98,"Batteri",'Alle ruter'!$AJ$3:$AJ$98,"&gt;"&amp;F$62,'Alle ruter'!$AH$3:$AH$98,'Energi per fylke'!$A71)+SUMIFS('Alle ruter'!$AA$3:$AA$98,'Alle ruter'!$Z$3:$Z$98,"H2",'Alle ruter'!$AJ$3:$AJ$98,"&gt;"&amp;F$62,'Alle ruter'!$AH$3:$AH$98,'Energi per fylke'!$A71))/1000000</f>
        <v>1.1925811074177</v>
      </c>
      <c r="G71" s="4">
        <f>(SUMIFS('Alle ruter'!$AA$3:$AA$98,'Alle ruter'!$Z$3:$Z$98,"Batteri",'Alle ruter'!$AJ$3:$AJ$98,"&gt;"&amp;G$62,'Alle ruter'!$AH$3:$AH$98,'Energi per fylke'!$A71)+SUMIFS('Alle ruter'!$AA$3:$AA$98,'Alle ruter'!$Z$3:$Z$98,"H2",'Alle ruter'!$AJ$3:$AJ$98,"&gt;"&amp;G$62,'Alle ruter'!$AH$3:$AH$98,'Energi per fylke'!$A71))/1000000</f>
        <v>1.1925811074177</v>
      </c>
      <c r="H71" s="4">
        <f>(SUMIFS('Alle ruter'!$AA$3:$AA$98,'Alle ruter'!$Z$3:$Z$98,"Batteri",'Alle ruter'!$AJ$3:$AJ$98,"&gt;"&amp;H$62,'Alle ruter'!$AH$3:$AH$98,'Energi per fylke'!$A71)+SUMIFS('Alle ruter'!$AA$3:$AA$98,'Alle ruter'!$Z$3:$Z$98,"H2",'Alle ruter'!$AJ$3:$AJ$98,"&gt;"&amp;H$62,'Alle ruter'!$AH$3:$AH$98,'Energi per fylke'!$A71))/1000000</f>
        <v>1.1925811074177</v>
      </c>
      <c r="I71" s="4">
        <f>(SUMIFS('Alle ruter'!$AA$3:$AA$98,'Alle ruter'!$Z$3:$Z$98,"Batteri",'Alle ruter'!$AJ$3:$AJ$98,"&gt;"&amp;I$62,'Alle ruter'!$AH$3:$AH$98,'Energi per fylke'!$A71)+SUMIFS('Alle ruter'!$AA$3:$AA$98,'Alle ruter'!$Z$3:$Z$98,"H2",'Alle ruter'!$AJ$3:$AJ$98,"&gt;"&amp;I$62,'Alle ruter'!$AH$3:$AH$98,'Energi per fylke'!$A71))/1000000</f>
        <v>1.1925811074177</v>
      </c>
      <c r="J71" s="4">
        <f>(SUMIFS('Alle ruter'!$AA$3:$AA$98,'Alle ruter'!$Z$3:$Z$98,"Batteri",'Alle ruter'!$AJ$3:$AJ$98,"&gt;"&amp;J$62,'Alle ruter'!$AH$3:$AH$98,'Energi per fylke'!$A71)+SUMIFS('Alle ruter'!$AA$3:$AA$98,'Alle ruter'!$Z$3:$Z$98,"H2",'Alle ruter'!$AJ$3:$AJ$98,"&gt;"&amp;J$62,'Alle ruter'!$AH$3:$AH$98,'Energi per fylke'!$A71))/1000000</f>
        <v>1.1925811074177</v>
      </c>
      <c r="K71" s="4">
        <f>(SUMIFS('Alle ruter'!$AA$3:$AA$98,'Alle ruter'!$Z$3:$Z$98,"Batteri",'Alle ruter'!$AJ$3:$AJ$98,"&gt;"&amp;K$62,'Alle ruter'!$AH$3:$AH$98,'Energi per fylke'!$A71)+SUMIFS('Alle ruter'!$AA$3:$AA$98,'Alle ruter'!$Z$3:$Z$98,"H2",'Alle ruter'!$AJ$3:$AJ$98,"&gt;"&amp;K$62,'Alle ruter'!$AH$3:$AH$98,'Energi per fylke'!$A71))/1000000</f>
        <v>1.1925811074177</v>
      </c>
      <c r="L71" s="4">
        <f>(SUMIFS('Alle ruter'!$AA$3:$AA$98,'Alle ruter'!$Z$3:$Z$98,"Batteri",'Alle ruter'!$AJ$3:$AJ$98,"&gt;"&amp;L$62,'Alle ruter'!$AH$3:$AH$98,'Energi per fylke'!$A71)+SUMIFS('Alle ruter'!$AA$3:$AA$98,'Alle ruter'!$Z$3:$Z$98,"H2",'Alle ruter'!$AJ$3:$AJ$98,"&gt;"&amp;L$62,'Alle ruter'!$AH$3:$AH$98,'Energi per fylke'!$A71))/1000000</f>
        <v>1.1925811074177</v>
      </c>
      <c r="M71" s="4">
        <f>(SUMIFS('Alle ruter'!$AA$3:$AA$98,'Alle ruter'!$Z$3:$Z$98,"Batteri",'Alle ruter'!$AJ$3:$AJ$98,"&gt;"&amp;M$62,'Alle ruter'!$AH$3:$AH$98,'Energi per fylke'!$A71)+SUMIFS('Alle ruter'!$AA$3:$AA$98,'Alle ruter'!$Z$3:$Z$98,"H2",'Alle ruter'!$AJ$3:$AJ$98,"&gt;"&amp;M$62,'Alle ruter'!$AH$3:$AH$98,'Energi per fylke'!$A71))/1000000</f>
        <v>1.1925811074177</v>
      </c>
      <c r="N71" s="4">
        <f>(SUMIFS('Alle ruter'!$AA$3:$AA$98,'Alle ruter'!$Z$3:$Z$98,"Batteri",'Alle ruter'!$AJ$3:$AJ$98,"&gt;"&amp;N$62,'Alle ruter'!$AH$3:$AH$98,'Energi per fylke'!$A71)+SUMIFS('Alle ruter'!$AA$3:$AA$98,'Alle ruter'!$Z$3:$Z$98,"H2",'Alle ruter'!$AJ$3:$AJ$98,"&gt;"&amp;N$62,'Alle ruter'!$AH$3:$AH$98,'Energi per fylke'!$A71))/1000000</f>
        <v>1.1925811074177</v>
      </c>
      <c r="O71" s="4">
        <f>(SUMIFS('Alle ruter'!$AA$3:$AA$98,'Alle ruter'!$Z$3:$Z$98,"Batteri",'Alle ruter'!$AJ$3:$AJ$98,"&gt;"&amp;O$62,'Alle ruter'!$AH$3:$AH$98,'Energi per fylke'!$A71)+SUMIFS('Alle ruter'!$AA$3:$AA$98,'Alle ruter'!$Z$3:$Z$98,"H2",'Alle ruter'!$AJ$3:$AJ$98,"&gt;"&amp;O$62,'Alle ruter'!$AH$3:$AH$98,'Energi per fylke'!$A71))/1000000</f>
        <v>1.1925811074177</v>
      </c>
      <c r="P71" s="4">
        <f>(SUMIFS('Alle ruter'!$AA$3:$AA$98,'Alle ruter'!$Z$3:$Z$98,"Batteri",'Alle ruter'!$AJ$3:$AJ$98,"&gt;"&amp;P$62,'Alle ruter'!$AH$3:$AH$98,'Energi per fylke'!$A71)+SUMIFS('Alle ruter'!$AA$3:$AA$98,'Alle ruter'!$Z$3:$Z$98,"H2",'Alle ruter'!$AJ$3:$AJ$98,"&gt;"&amp;P$62,'Alle ruter'!$AH$3:$AH$98,'Energi per fylke'!$A71))/1000000</f>
        <v>0</v>
      </c>
    </row>
    <row r="72" spans="1:16" x14ac:dyDescent="0.3">
      <c r="A72" t="s">
        <v>422</v>
      </c>
      <c r="B72" s="3">
        <f t="shared" ref="B72:J72" si="12">SUM(B64:B71)</f>
        <v>206.18676558577954</v>
      </c>
      <c r="C72" s="3">
        <f t="shared" si="12"/>
        <v>161.56249392250567</v>
      </c>
      <c r="D72" s="3">
        <f t="shared" si="12"/>
        <v>133.64314987064142</v>
      </c>
      <c r="E72" s="3">
        <f t="shared" si="12"/>
        <v>83.534401297405481</v>
      </c>
      <c r="F72" s="3">
        <f t="shared" si="12"/>
        <v>68.844932060626789</v>
      </c>
      <c r="G72" s="3">
        <f t="shared" si="12"/>
        <v>52.774489370238996</v>
      </c>
      <c r="H72" s="3">
        <f t="shared" si="12"/>
        <v>19.941524107999001</v>
      </c>
      <c r="I72" s="3">
        <f t="shared" si="12"/>
        <v>19.941524107999001</v>
      </c>
      <c r="J72" s="3">
        <f t="shared" si="12"/>
        <v>18.286513591582597</v>
      </c>
      <c r="K72" s="3">
        <f>SUM(K64:K71)</f>
        <v>15.07519825131385</v>
      </c>
      <c r="L72" s="3">
        <f t="shared" ref="L72:P72" si="13">SUM(L64:L71)</f>
        <v>12.327664452818651</v>
      </c>
      <c r="M72" s="3">
        <f t="shared" si="13"/>
        <v>12.327664452818651</v>
      </c>
      <c r="N72" s="3">
        <f t="shared" si="13"/>
        <v>10.46172122352565</v>
      </c>
      <c r="O72" s="3">
        <f t="shared" si="13"/>
        <v>10.46172122352565</v>
      </c>
      <c r="P72" s="3">
        <f t="shared" si="13"/>
        <v>0</v>
      </c>
    </row>
    <row r="76" spans="1:16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</sheetData>
  <mergeCells count="5">
    <mergeCell ref="C1:K1"/>
    <mergeCell ref="C31:K31"/>
    <mergeCell ref="C16:K16"/>
    <mergeCell ref="C46:K46"/>
    <mergeCell ref="C61:K6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5D1DE11BC220429EC4FE49F1BDAF18" ma:contentTypeVersion="9" ma:contentTypeDescription="Opprett et nytt dokument." ma:contentTypeScope="" ma:versionID="97baab4264808636cb0fcdef07eb9396">
  <xsd:schema xmlns:xsd="http://www.w3.org/2001/XMLSchema" xmlns:xs="http://www.w3.org/2001/XMLSchema" xmlns:p="http://schemas.microsoft.com/office/2006/metadata/properties" xmlns:ns2="a97e182c-ca48-442c-aabb-a23ac6cb8210" targetNamespace="http://schemas.microsoft.com/office/2006/metadata/properties" ma:root="true" ma:fieldsID="b7d3e49069a9fee0e4c94d6d7c2f9595" ns2:_="">
    <xsd:import namespace="a97e182c-ca48-442c-aabb-a23ac6cb8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e182c-ca48-442c-aabb-a23ac6cb8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473C70-8445-4B9E-8AF4-9888006E2E1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97e182c-ca48-442c-aabb-a23ac6cb821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DBEA28-7129-40AC-AA93-502C9F57F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7e182c-ca48-442c-aabb-a23ac6cb8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D4BD5F-2BCC-4AE7-B150-DE7932646D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</vt:lpstr>
      <vt:lpstr>Alle ruter</vt:lpstr>
      <vt:lpstr>H2 pr endeplass</vt:lpstr>
      <vt:lpstr>Energi per fylke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Hugem Lereng</dc:creator>
  <cp:keywords/>
  <dc:description/>
  <cp:lastModifiedBy>Karen M Bostrøm Lillo</cp:lastModifiedBy>
  <cp:revision/>
  <dcterms:created xsi:type="dcterms:W3CDTF">2018-09-17T08:38:32Z</dcterms:created>
  <dcterms:modified xsi:type="dcterms:W3CDTF">2020-04-30T14:38:19Z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0x0101005B5D1DE11BC220429EC4FE49F1BDAF18</vt:lpwstr>
  </property>
  <property fmtid="{D5CDD505-2E9C-101B-9397-08002B2CF9AE}" pid="3" name="SaveCode">
    <vt:r8>283594310283660</vt:r8>
  </property>
</Properties>
</file>